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2E7C5F82-1F5D-4820-AE25-CDDDF2878883}" xr6:coauthVersionLast="47" xr6:coauthVersionMax="47" xr10:uidLastSave="{00000000-0000-0000-0000-000000000000}"/>
  <bookViews>
    <workbookView xWindow="-28920" yWindow="-2070" windowWidth="29040" windowHeight="15720" tabRatio="950" xr2:uid="{00000000-000D-0000-FFFF-FFFF00000000}"/>
  </bookViews>
  <sheets>
    <sheet name="FINANCIAL" sheetId="17" r:id="rId1"/>
    <sheet name="RECAP #9239.02" sheetId="80" r:id="rId2"/>
    <sheet name="#9239.02 Funds Recv'd" sheetId="81" r:id="rId3"/>
    <sheet name="#9239.02 Samuels Group" sheetId="82" r:id="rId4"/>
    <sheet name="#9239.02 PM TIME " sheetId="83" r:id="rId5"/>
    <sheet name="#9239.02 Misc" sheetId="84" r:id="rId6"/>
    <sheet name="#9239.02 FarnsworthGroup" sheetId="119" r:id="rId7"/>
    <sheet name="#9239.02 FarnsworthGroup (2)" sheetId="138" r:id="rId8"/>
    <sheet name="#9239.02 Samuels Group (2)" sheetId="156" r:id="rId9"/>
    <sheet name="#9239.02 Accurate Commercial" sheetId="180" r:id="rId10"/>
    <sheet name="#9239.02 Proctor Mechanical" sheetId="181" r:id="rId11"/>
    <sheet name="#9239.02 Con-Struct Inc" sheetId="184" r:id="rId12"/>
    <sheet name="#9239.02 Samuels Group (3)" sheetId="186" r:id="rId13"/>
    <sheet name="#9239.02 Terracon Consultants" sheetId="192" r:id="rId14"/>
    <sheet name="#9239.02 Interstate Power" sheetId="218" r:id="rId15"/>
    <sheet name="RECAP #9239.03" sheetId="128" r:id="rId16"/>
    <sheet name="#9239.03 Funds Rec'd " sheetId="129" r:id="rId17"/>
    <sheet name="#9239.03 Farnsworth Group" sheetId="130" r:id="rId18"/>
    <sheet name="#9239.03 PM TIME " sheetId="131" r:id="rId19"/>
    <sheet name="#9239.03 Misc " sheetId="132" r:id="rId20"/>
    <sheet name="#9239.03 Samuels Group" sheetId="155" r:id="rId21"/>
    <sheet name="#9239.03 Proctor Mechanical" sheetId="188" r:id="rId22"/>
    <sheet name="#9239.03 Con-Struct Inc" sheetId="189" r:id="rId23"/>
    <sheet name="#9239.03 Samuels Group (2)" sheetId="187" r:id="rId24"/>
    <sheet name="#9239.03 Terracon Consultants" sheetId="190" r:id="rId25"/>
    <sheet name="RECAP #9279.40" sheetId="18" r:id="rId26"/>
    <sheet name="#9279.40 Funds Rec'd " sheetId="19" r:id="rId27"/>
    <sheet name="#9279.40 Shive Hattery" sheetId="20" r:id="rId28"/>
    <sheet name="#9279.40 PM TIME " sheetId="21" r:id="rId29"/>
    <sheet name="#9279.40 Misc" sheetId="22" r:id="rId30"/>
    <sheet name="#9279.40 Story Construction" sheetId="64" r:id="rId31"/>
    <sheet name="#9279.40 ATC Group Services" sheetId="65" r:id="rId32"/>
    <sheet name="#9279.40 Shive Hattery (2)" sheetId="71" r:id="rId33"/>
    <sheet name="#9279.40 SystemWorks" sheetId="85" r:id="rId34"/>
    <sheet name="#9279.40 ATC Group Services (2)" sheetId="96" r:id="rId35"/>
    <sheet name="#9279.40 Shive Hattery (3)" sheetId="97" r:id="rId36"/>
    <sheet name="#9279.40 Shive Hattery (4)" sheetId="148" r:id="rId37"/>
    <sheet name="#9279.40 ATC Group Services (3)" sheetId="157" r:id="rId38"/>
    <sheet name="#9279.40 Story Construction (2)" sheetId="158" r:id="rId39"/>
    <sheet name="#9279.40 Advanced Environmental" sheetId="164" r:id="rId40"/>
    <sheet name="#9279.40 VanMaanen Electric" sheetId="165" r:id="rId41"/>
    <sheet name="#9279.40 Pleva Plumbing" sheetId="166" r:id="rId42"/>
    <sheet name="#9279.40 SystemWorks (2)" sheetId="167" r:id="rId43"/>
    <sheet name="#9279.40 Kline Electrical" sheetId="168" r:id="rId44"/>
    <sheet name="#9279.40 Shive Hattery (5)" sheetId="178" r:id="rId45"/>
    <sheet name="#9279.40 Story Construction (3)" sheetId="179" r:id="rId46"/>
    <sheet name="#9279.40 ATC Group Services (4)" sheetId="193" r:id="rId47"/>
    <sheet name="#9279.40 ATC Group Services (5)" sheetId="196" r:id="rId48"/>
    <sheet name="#9279.40 Controlled Asbestos" sheetId="212" r:id="rId49"/>
    <sheet name="#9279.40 Story Construction (4)" sheetId="213" r:id="rId50"/>
    <sheet name="#9279.40 VanMaanen Electric (2)" sheetId="216" r:id="rId51"/>
    <sheet name="#9279.40 Controlled Asbesto (2)" sheetId="220" r:id="rId52"/>
    <sheet name="RECAP #9279.41" sheetId="98" r:id="rId53"/>
    <sheet name="#9279.41 Funds Rec'd " sheetId="99" r:id="rId54"/>
    <sheet name="#9279.41 Shive Hattery" sheetId="100" r:id="rId55"/>
    <sheet name="#9279.41 PM TIME" sheetId="101" r:id="rId56"/>
    <sheet name="#9279.41 Misc" sheetId="102" r:id="rId57"/>
    <sheet name="#9279.41 Story Construction" sheetId="118" r:id="rId58"/>
    <sheet name="RECAP #9294.00" sheetId="59" r:id="rId59"/>
    <sheet name="#9294.00 Funds Recv'd " sheetId="60" r:id="rId60"/>
    <sheet name="#9294.00 Van Maanen" sheetId="61" r:id="rId61"/>
    <sheet name="#9294.00 PM TIME " sheetId="62" r:id="rId62"/>
    <sheet name="#9294.00 Misc" sheetId="63" r:id="rId63"/>
    <sheet name="RECAP #9358.01" sheetId="34" r:id="rId64"/>
    <sheet name="#9358.01 Funds Recv'd" sheetId="35" r:id="rId65"/>
    <sheet name="#9358.01 Commonwealth Electric" sheetId="36" r:id="rId66"/>
    <sheet name="#9358.01 PM TIME" sheetId="37" r:id="rId67"/>
    <sheet name="#9358.01 Misc" sheetId="38" r:id="rId68"/>
    <sheet name="#9358.01 Central IA Mechanical" sheetId="50" r:id="rId69"/>
    <sheet name="#9358.01 DCI Group" sheetId="56" r:id="rId70"/>
    <sheet name="RECAP #9360.01" sheetId="44" r:id="rId71"/>
    <sheet name="#9360.01 Funds Recv'd" sheetId="45" r:id="rId72"/>
    <sheet name="#9360.01 Air-Con Electric" sheetId="46" r:id="rId73"/>
    <sheet name="#9360.01 PM TIME" sheetId="47" r:id="rId74"/>
    <sheet name="#9360.01 Misc" sheetId="48" r:id="rId75"/>
    <sheet name="#9360.01 McGough Construction" sheetId="49" r:id="rId76"/>
    <sheet name="#9360.01 McGough Constr (2)" sheetId="57" r:id="rId77"/>
    <sheet name="#9360.01 KCL Engineering" sheetId="58" r:id="rId78"/>
    <sheet name="RECAP #9366.00" sheetId="149" r:id="rId79"/>
    <sheet name="#9366.00 Funds Rec'd" sheetId="150" r:id="rId80"/>
    <sheet name="#9366.00 Jensen Builders" sheetId="151" r:id="rId81"/>
    <sheet name="#9366.00 PM TIME" sheetId="152" r:id="rId82"/>
    <sheet name="#9366.00 Misc" sheetId="153" r:id="rId83"/>
    <sheet name="RECAP #9424.00" sheetId="23" r:id="rId84"/>
    <sheet name="#9424.00 Funds Rec'd  " sheetId="28" r:id="rId85"/>
    <sheet name="#9424.00 IMEG Corporation" sheetId="25" r:id="rId86"/>
    <sheet name="#9424.00 PM TIME " sheetId="26" r:id="rId87"/>
    <sheet name="#9424.00 Misc" sheetId="27" r:id="rId88"/>
    <sheet name="#9424.00 McGough Construction" sheetId="68" r:id="rId89"/>
    <sheet name="#9424.00 K&amp;W Electric" sheetId="69" r:id="rId90"/>
    <sheet name="RECAP #9425.01" sheetId="72" r:id="rId91"/>
    <sheet name="#9425.01 Funds Recv'd " sheetId="73" r:id="rId92"/>
    <sheet name="#9425.01 McGough Construction" sheetId="74" r:id="rId93"/>
    <sheet name="#9425.01 PM TIME " sheetId="75" r:id="rId94"/>
    <sheet name="#9425.01 Misc " sheetId="76" r:id="rId95"/>
    <sheet name="#9425.01 ATC Group" sheetId="79" r:id="rId96"/>
    <sheet name="#9425.01 JamcoAbatement Service" sheetId="120" r:id="rId97"/>
    <sheet name="#9425.01 McGough Constructi (2)" sheetId="121" r:id="rId98"/>
    <sheet name="RECAP #9429.00 " sheetId="29" r:id="rId99"/>
    <sheet name="#9429.00 Funds Recv'd" sheetId="30" r:id="rId100"/>
    <sheet name="#9429.00 OPN Architects" sheetId="31" r:id="rId101"/>
    <sheet name="#9429.00 PM TIME" sheetId="32" r:id="rId102"/>
    <sheet name="#9429.00 Misc" sheetId="33" r:id="rId103"/>
    <sheet name="#9429.00 OPN Architects (2)" sheetId="77" r:id="rId104"/>
    <sheet name="#9429.00 Weitz Company" sheetId="78" r:id="rId105"/>
    <sheet name="#9429.00 Terracon Consultants" sheetId="144" r:id="rId106"/>
    <sheet name="#9429.00 Terracon Consultan (2)" sheetId="145" r:id="rId107"/>
    <sheet name="#9429.00 Jaeger Corporation " sheetId="176" r:id="rId108"/>
    <sheet name="#9429.00 SystemWorks" sheetId="183" r:id="rId109"/>
    <sheet name="#9429.00 OPN Architects (3)" sheetId="197" r:id="rId110"/>
    <sheet name="#9429.00 Core Construction" sheetId="199" r:id="rId111"/>
    <sheet name="#9429.00 Core Construction (2)" sheetId="200" r:id="rId112"/>
    <sheet name="#9429.00 Seedorff Masonry" sheetId="201" r:id="rId113"/>
    <sheet name="#9429.00 US Erectors" sheetId="202" r:id="rId114"/>
    <sheet name="#9429.00 Breiholz Construction" sheetId="203" r:id="rId115"/>
    <sheet name="#9429.00 Bailey Roofing" sheetId="204" r:id="rId116"/>
    <sheet name="#9429.00 Elite Glass and Metal" sheetId="205" r:id="rId117"/>
    <sheet name="#9429.00 VanMaanen Electric" sheetId="206" r:id="rId118"/>
    <sheet name="#9429.00 SGH Concepts" sheetId="207" r:id="rId119"/>
    <sheet name="#9429.00 Veit &amp; Company" sheetId="208" r:id="rId120"/>
    <sheet name="#9429.00 Grazzini Brothers" sheetId="209" r:id="rId121"/>
    <sheet name="#9429.00 JF Ahern" sheetId="210" r:id="rId122"/>
    <sheet name="#9429.00 Andersen Construction " sheetId="211" r:id="rId123"/>
    <sheet name="#9429.00 Conference Technologie" sheetId="214" r:id="rId124"/>
    <sheet name="#9429.00 Weitz Company (2)" sheetId="215" r:id="rId125"/>
    <sheet name="#9429.00 Terracon Consultants 3" sheetId="217" r:id="rId126"/>
    <sheet name="#9429.00 All Makes-Furniture" sheetId="219" r:id="rId127"/>
    <sheet name="RECAP #9433.00" sheetId="51" r:id="rId128"/>
    <sheet name="#9433.00 Funds Recv'd " sheetId="52" r:id="rId129"/>
    <sheet name="#9433.00 Story Construction" sheetId="53" r:id="rId130"/>
    <sheet name="#9433.00 PM TIME " sheetId="54" r:id="rId131"/>
    <sheet name="#9433.00 Misc" sheetId="55" r:id="rId132"/>
    <sheet name="#9433.00 Genesis Architectural" sheetId="67" r:id="rId133"/>
    <sheet name="#9433.00 Falke Construction" sheetId="146" r:id="rId134"/>
    <sheet name="#9433.00 Story Construction (2)" sheetId="147" r:id="rId135"/>
    <sheet name="RECAP #9466.00" sheetId="91" r:id="rId136"/>
    <sheet name="#9466.00 Funds Rec'd " sheetId="92" r:id="rId137"/>
    <sheet name="#9466.00 Boyd Jones" sheetId="93" r:id="rId138"/>
    <sheet name="#9466.00 PM TIME" sheetId="94" r:id="rId139"/>
    <sheet name="#9466.00 Misc " sheetId="95" r:id="rId140"/>
    <sheet name="#9466.00 KCL Engineering" sheetId="127" r:id="rId141"/>
    <sheet name="#9466.00 Thompson Solutions" sheetId="177" r:id="rId142"/>
    <sheet name="#9466.00 Boyd Jones (2)" sheetId="185" r:id="rId143"/>
    <sheet name="RECAP #9467.00" sheetId="103" r:id="rId144"/>
    <sheet name="#9467.00 Funds Rec'd" sheetId="104" r:id="rId145"/>
    <sheet name="#9467.00 Vendor A" sheetId="105" r:id="rId146"/>
    <sheet name="#9467.00 PM TIME" sheetId="106" r:id="rId147"/>
    <sheet name="#9467.00 Misc" sheetId="107" r:id="rId148"/>
    <sheet name="RECAP #9468.00" sheetId="108" r:id="rId149"/>
    <sheet name="#9468.00 Funds Rec'd " sheetId="109" r:id="rId150"/>
    <sheet name="#9468.00 Vendor A " sheetId="110" r:id="rId151"/>
    <sheet name="#9468.00 PM TIME " sheetId="111" r:id="rId152"/>
    <sheet name="#9468.00 Misc " sheetId="112" r:id="rId153"/>
    <sheet name="RECAP #9470.00" sheetId="113" r:id="rId154"/>
    <sheet name="#9470.00 Funds Rec'd" sheetId="114" r:id="rId155"/>
    <sheet name="#9470.00 Horizon Architecture" sheetId="115" r:id="rId156"/>
    <sheet name="#9470.00 PM TIME" sheetId="116" r:id="rId157"/>
    <sheet name="#9470.00 Misc" sheetId="117" r:id="rId158"/>
    <sheet name="RECAP #9472.00" sheetId="122" r:id="rId159"/>
    <sheet name="#9472.00 Funds Rec'd" sheetId="123" r:id="rId160"/>
    <sheet name="#9472.00 Vendor A" sheetId="124" r:id="rId161"/>
    <sheet name="#9472.00 PM TIME" sheetId="125" r:id="rId162"/>
    <sheet name="#9472.00 Misc" sheetId="126" r:id="rId163"/>
    <sheet name="RECAP #9473.00" sheetId="133" r:id="rId164"/>
    <sheet name="#9473.00 Funds Rec'd" sheetId="134" r:id="rId165"/>
    <sheet name="#9473.00 Vendor A " sheetId="135" r:id="rId166"/>
    <sheet name="#9473.00 PM TIME " sheetId="136" r:id="rId167"/>
    <sheet name="#9473.00 Misc" sheetId="137" r:id="rId168"/>
    <sheet name="RECAP #9475.00" sheetId="139" r:id="rId169"/>
    <sheet name="#9475.00 Funds Rec'd" sheetId="140" r:id="rId170"/>
    <sheet name="#9475.00 Genesis Architectural" sheetId="141" r:id="rId171"/>
    <sheet name="#9475.00 PM TIME" sheetId="142" r:id="rId172"/>
    <sheet name="#9475.00 Misc" sheetId="143" r:id="rId173"/>
    <sheet name="#9475.00 DCI Group" sheetId="182" r:id="rId174"/>
    <sheet name="#9475.00 Christiansen Contr" sheetId="194" r:id="rId175"/>
    <sheet name="#9475.00 CW Suter" sheetId="195" r:id="rId176"/>
    <sheet name="#9475.00 DCI Group (2)" sheetId="198" r:id="rId177"/>
    <sheet name="RECAP #9476.00" sheetId="159" r:id="rId178"/>
    <sheet name="#9476.00 Funds Rec'd" sheetId="160" r:id="rId179"/>
    <sheet name="#9476.00 McGough Construction" sheetId="161" r:id="rId180"/>
    <sheet name="#9476.00 PM TIME" sheetId="162" r:id="rId181"/>
    <sheet name="#9476.00 Misc " sheetId="163" r:id="rId182"/>
    <sheet name="#9476.00 HGM Associates Inc" sheetId="175" r:id="rId183"/>
    <sheet name="RECAP #9480.00" sheetId="169" r:id="rId184"/>
    <sheet name="#9480.00 Funds Rec'd" sheetId="170" r:id="rId185"/>
    <sheet name="#9480.00 McGough Construction" sheetId="171" r:id="rId186"/>
    <sheet name="#9480.00 PM Time" sheetId="172" r:id="rId187"/>
    <sheet name="#9480.00 Misc" sheetId="173" r:id="rId188"/>
    <sheet name="#9480.00 Genesis Architectural" sheetId="174" r:id="rId189"/>
    <sheet name="#XXXX.XX Funds Recv'd Incorrect" sheetId="66" r:id="rId190"/>
    <sheet name="RECAP #XXXX.XX" sheetId="86" r:id="rId191"/>
    <sheet name="#XXXX.XX Funds Rec'd" sheetId="87" r:id="rId192"/>
    <sheet name="#XXXX.XX Vendor A " sheetId="88" r:id="rId193"/>
    <sheet name="#XXXX.XX PM TIME " sheetId="89" r:id="rId194"/>
    <sheet name="#XXXX.XX Misc " sheetId="90" r:id="rId195"/>
  </sheets>
  <externalReferences>
    <externalReference r:id="rId196"/>
    <externalReference r:id="rId197"/>
    <externalReference r:id="rId198"/>
    <externalReference r:id="rId199"/>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8" l="1"/>
  <c r="E34" i="18"/>
  <c r="D34" i="18"/>
  <c r="D29" i="220"/>
  <c r="H27" i="220"/>
  <c r="F29" i="220"/>
  <c r="F23" i="220"/>
  <c r="D23" i="220"/>
  <c r="H23" i="220" s="1"/>
  <c r="G10" i="220"/>
  <c r="G11" i="220" s="1"/>
  <c r="G12" i="220" s="1"/>
  <c r="G13" i="220" s="1"/>
  <c r="G14" i="220" s="1"/>
  <c r="G15" i="220" s="1"/>
  <c r="G16" i="220" s="1"/>
  <c r="G17" i="220" s="1"/>
  <c r="G18" i="220" s="1"/>
  <c r="G19" i="220" s="1"/>
  <c r="G20" i="220" s="1"/>
  <c r="G21" i="220" s="1"/>
  <c r="E9" i="220"/>
  <c r="E10" i="220" s="1"/>
  <c r="E11" i="220" s="1"/>
  <c r="E12" i="220" s="1"/>
  <c r="E13" i="220" s="1"/>
  <c r="E14" i="220" s="1"/>
  <c r="E15" i="220" s="1"/>
  <c r="E16" i="220" s="1"/>
  <c r="E17" i="220" s="1"/>
  <c r="E18" i="220" s="1"/>
  <c r="E19" i="220" s="1"/>
  <c r="E20" i="220" s="1"/>
  <c r="E21" i="220" s="1"/>
  <c r="A6" i="220"/>
  <c r="D3" i="220"/>
  <c r="A3" i="220"/>
  <c r="A2" i="220"/>
  <c r="A1" i="220"/>
  <c r="H32" i="78"/>
  <c r="H31" i="78"/>
  <c r="F32" i="78"/>
  <c r="D32" i="78"/>
  <c r="F30" i="178"/>
  <c r="F29" i="178"/>
  <c r="F28" i="178"/>
  <c r="F27" i="178"/>
  <c r="F26" i="178"/>
  <c r="D36" i="56"/>
  <c r="D33" i="56"/>
  <c r="D32" i="56"/>
  <c r="F32" i="56"/>
  <c r="I15" i="180"/>
  <c r="H26" i="220" l="1"/>
  <c r="H28" i="220"/>
  <c r="H9" i="220"/>
  <c r="H10" i="220" s="1"/>
  <c r="H11" i="220" s="1"/>
  <c r="H12" i="220" s="1"/>
  <c r="H13" i="220" s="1"/>
  <c r="H14" i="220" s="1"/>
  <c r="H15" i="220" s="1"/>
  <c r="H16" i="220" s="1"/>
  <c r="H17" i="220" s="1"/>
  <c r="H18" i="220" s="1"/>
  <c r="H19" i="220" s="1"/>
  <c r="H20" i="220" s="1"/>
  <c r="H21" i="220" s="1"/>
  <c r="H29" i="220"/>
  <c r="I14" i="189"/>
  <c r="I15" i="184"/>
  <c r="F45" i="64"/>
  <c r="F43" i="64"/>
  <c r="F44" i="64"/>
  <c r="F32" i="158"/>
  <c r="F29" i="158"/>
  <c r="F28" i="158"/>
  <c r="F26" i="213"/>
  <c r="F54" i="138"/>
  <c r="F46" i="138"/>
  <c r="F38" i="138"/>
  <c r="F30" i="138"/>
  <c r="F26" i="185"/>
  <c r="F27" i="198"/>
  <c r="F26" i="198"/>
  <c r="A1" i="219" l="1"/>
  <c r="F36" i="29"/>
  <c r="E36" i="29"/>
  <c r="D36" i="29"/>
  <c r="F26" i="219"/>
  <c r="D26" i="219"/>
  <c r="H26" i="219" s="1"/>
  <c r="G10" i="219"/>
  <c r="G11" i="219" s="1"/>
  <c r="G12" i="219" s="1"/>
  <c r="G13" i="219" s="1"/>
  <c r="G14" i="219" s="1"/>
  <c r="G15" i="219" s="1"/>
  <c r="G16" i="219" s="1"/>
  <c r="G17" i="219" s="1"/>
  <c r="G18" i="219" s="1"/>
  <c r="G19" i="219" s="1"/>
  <c r="G20" i="219" s="1"/>
  <c r="G21" i="219" s="1"/>
  <c r="G22" i="219" s="1"/>
  <c r="G23" i="219" s="1"/>
  <c r="G24" i="219" s="1"/>
  <c r="E9" i="219"/>
  <c r="H9" i="219" s="1"/>
  <c r="H10" i="219" s="1"/>
  <c r="H11" i="219" s="1"/>
  <c r="H12" i="219" s="1"/>
  <c r="H13" i="219" s="1"/>
  <c r="H14" i="219" s="1"/>
  <c r="H15" i="219" s="1"/>
  <c r="H16" i="219" s="1"/>
  <c r="H17" i="219" s="1"/>
  <c r="H18" i="219" s="1"/>
  <c r="H19" i="219" s="1"/>
  <c r="H20" i="219" s="1"/>
  <c r="H21" i="219" s="1"/>
  <c r="H22" i="219" s="1"/>
  <c r="H23" i="219" s="1"/>
  <c r="H24" i="219" s="1"/>
  <c r="A6" i="219"/>
  <c r="D3" i="219"/>
  <c r="A3" i="219"/>
  <c r="A2" i="219"/>
  <c r="F32" i="215"/>
  <c r="F31" i="215"/>
  <c r="F30" i="215"/>
  <c r="F29" i="215"/>
  <c r="E10" i="219" l="1"/>
  <c r="E11" i="219" s="1"/>
  <c r="E12" i="219" s="1"/>
  <c r="E13" i="219" s="1"/>
  <c r="E14" i="219" s="1"/>
  <c r="E15" i="219" s="1"/>
  <c r="E16" i="219" s="1"/>
  <c r="E17" i="219" s="1"/>
  <c r="E18" i="219" s="1"/>
  <c r="E19" i="219" s="1"/>
  <c r="E20" i="219" s="1"/>
  <c r="E21" i="219" s="1"/>
  <c r="E22" i="219" s="1"/>
  <c r="E23" i="219" s="1"/>
  <c r="E24" i="219" s="1"/>
  <c r="F32" i="178"/>
  <c r="D32" i="178"/>
  <c r="H31" i="178"/>
  <c r="F31" i="197" l="1"/>
  <c r="D29" i="212"/>
  <c r="D28" i="212"/>
  <c r="D27" i="212"/>
  <c r="D26" i="212"/>
  <c r="F29" i="212"/>
  <c r="F27" i="212"/>
  <c r="F26" i="212"/>
  <c r="F31" i="148"/>
  <c r="F29" i="148"/>
  <c r="F28" i="148"/>
  <c r="F27" i="148"/>
  <c r="F41" i="71"/>
  <c r="F29" i="97"/>
  <c r="F29" i="127"/>
  <c r="I15" i="188"/>
  <c r="F31" i="186"/>
  <c r="F30" i="186"/>
  <c r="F29" i="186"/>
  <c r="F28" i="186"/>
  <c r="F27" i="186"/>
  <c r="F26" i="186"/>
  <c r="F27" i="187"/>
  <c r="F26" i="187"/>
  <c r="D21" i="80"/>
  <c r="F23" i="218"/>
  <c r="E21" i="80" s="1"/>
  <c r="D23" i="218"/>
  <c r="G10" i="218"/>
  <c r="G11" i="218" s="1"/>
  <c r="G12" i="218" s="1"/>
  <c r="G13" i="218" s="1"/>
  <c r="G14" i="218" s="1"/>
  <c r="G15" i="218" s="1"/>
  <c r="G16" i="218" s="1"/>
  <c r="G17" i="218" s="1"/>
  <c r="G18" i="218" s="1"/>
  <c r="G19" i="218" s="1"/>
  <c r="G20" i="218" s="1"/>
  <c r="G21" i="218" s="1"/>
  <c r="E9" i="218"/>
  <c r="E10" i="218" s="1"/>
  <c r="E11" i="218" s="1"/>
  <c r="E12" i="218" s="1"/>
  <c r="E13" i="218" s="1"/>
  <c r="E14" i="218" s="1"/>
  <c r="E15" i="218" s="1"/>
  <c r="E16" i="218" s="1"/>
  <c r="E17" i="218" s="1"/>
  <c r="E18" i="218" s="1"/>
  <c r="E19" i="218" s="1"/>
  <c r="E20" i="218" s="1"/>
  <c r="E21" i="218" s="1"/>
  <c r="A6" i="218"/>
  <c r="D3" i="218"/>
  <c r="A3" i="218"/>
  <c r="A2" i="218"/>
  <c r="A1" i="218"/>
  <c r="H23" i="218" l="1"/>
  <c r="F21" i="80" s="1"/>
  <c r="H9" i="218"/>
  <c r="H10" i="218" s="1"/>
  <c r="H11" i="218" s="1"/>
  <c r="H12" i="218" s="1"/>
  <c r="H13" i="218" s="1"/>
  <c r="H14" i="218" s="1"/>
  <c r="H15" i="218" s="1"/>
  <c r="H16" i="218" s="1"/>
  <c r="H17" i="218" s="1"/>
  <c r="H18" i="218" s="1"/>
  <c r="H19" i="218" s="1"/>
  <c r="H20" i="218" s="1"/>
  <c r="H21" i="218" s="1"/>
  <c r="H34" i="217"/>
  <c r="F35" i="217"/>
  <c r="D35" i="217"/>
  <c r="H33" i="217"/>
  <c r="H32" i="217"/>
  <c r="H31" i="217"/>
  <c r="H30" i="217"/>
  <c r="H29" i="217"/>
  <c r="F26" i="217"/>
  <c r="E35" i="29" s="1"/>
  <c r="D26" i="217"/>
  <c r="D35" i="29" s="1"/>
  <c r="G10" i="217"/>
  <c r="G11" i="217" s="1"/>
  <c r="G12" i="217" s="1"/>
  <c r="G13" i="217" s="1"/>
  <c r="G14" i="217" s="1"/>
  <c r="G15" i="217" s="1"/>
  <c r="G16" i="217" s="1"/>
  <c r="G17" i="217" s="1"/>
  <c r="G18" i="217" s="1"/>
  <c r="G19" i="217" s="1"/>
  <c r="G20" i="217" s="1"/>
  <c r="G21" i="217" s="1"/>
  <c r="G22" i="217" s="1"/>
  <c r="G23" i="217" s="1"/>
  <c r="G24" i="217" s="1"/>
  <c r="E9" i="217"/>
  <c r="E10" i="217" s="1"/>
  <c r="E11" i="217" s="1"/>
  <c r="E12" i="217" s="1"/>
  <c r="E13" i="217" s="1"/>
  <c r="E14" i="217" s="1"/>
  <c r="E15" i="217" s="1"/>
  <c r="E16" i="217" s="1"/>
  <c r="E17" i="217" s="1"/>
  <c r="E18" i="217" s="1"/>
  <c r="E19" i="217" s="1"/>
  <c r="E20" i="217" s="1"/>
  <c r="E21" i="217" s="1"/>
  <c r="E22" i="217" s="1"/>
  <c r="E23" i="217" s="1"/>
  <c r="E24" i="217" s="1"/>
  <c r="A6" i="217"/>
  <c r="D3" i="217"/>
  <c r="A3" i="217"/>
  <c r="A2" i="217"/>
  <c r="A1" i="217"/>
  <c r="H35" i="217" l="1"/>
  <c r="H26" i="217"/>
  <c r="F35" i="29" s="1"/>
  <c r="H9" i="217"/>
  <c r="H10" i="217" s="1"/>
  <c r="H11" i="217" s="1"/>
  <c r="H12" i="217" s="1"/>
  <c r="H13" i="217" s="1"/>
  <c r="H14" i="217" s="1"/>
  <c r="H15" i="217" s="1"/>
  <c r="H16" i="217" s="1"/>
  <c r="H17" i="217" s="1"/>
  <c r="H18" i="217" s="1"/>
  <c r="H19" i="217" s="1"/>
  <c r="H20" i="217" s="1"/>
  <c r="H21" i="217" s="1"/>
  <c r="H22" i="217" s="1"/>
  <c r="H23" i="217" s="1"/>
  <c r="H24" i="217" s="1"/>
  <c r="I10" i="177"/>
  <c r="I11" i="177" s="1"/>
  <c r="F28" i="118" l="1"/>
  <c r="F26" i="118"/>
  <c r="D27" i="179"/>
  <c r="D26" i="179"/>
  <c r="F26" i="179"/>
  <c r="F23" i="216"/>
  <c r="E33" i="18" s="1"/>
  <c r="D23" i="216"/>
  <c r="G10" i="216"/>
  <c r="G11" i="216" s="1"/>
  <c r="G12" i="216" s="1"/>
  <c r="G13" i="216" s="1"/>
  <c r="G14" i="216" s="1"/>
  <c r="G15" i="216" s="1"/>
  <c r="G16" i="216" s="1"/>
  <c r="G17" i="216" s="1"/>
  <c r="G18" i="216" s="1"/>
  <c r="G19" i="216" s="1"/>
  <c r="G20" i="216" s="1"/>
  <c r="G21" i="216" s="1"/>
  <c r="E9" i="216"/>
  <c r="H9" i="216" s="1"/>
  <c r="H10" i="216" s="1"/>
  <c r="H11" i="216" s="1"/>
  <c r="H12" i="216" s="1"/>
  <c r="H13" i="216" s="1"/>
  <c r="H14" i="216" s="1"/>
  <c r="H15" i="216" s="1"/>
  <c r="H16" i="216" s="1"/>
  <c r="H17" i="216" s="1"/>
  <c r="H18" i="216" s="1"/>
  <c r="H19" i="216" s="1"/>
  <c r="H20" i="216" s="1"/>
  <c r="H21" i="216" s="1"/>
  <c r="A6" i="216"/>
  <c r="D3" i="216"/>
  <c r="A3" i="216"/>
  <c r="A2" i="216"/>
  <c r="A1" i="216"/>
  <c r="H23" i="216" l="1"/>
  <c r="F33" i="18" s="1"/>
  <c r="D33" i="18"/>
  <c r="E10" i="216"/>
  <c r="E11" i="216" s="1"/>
  <c r="E12" i="216" s="1"/>
  <c r="E13" i="216" s="1"/>
  <c r="E14" i="216" s="1"/>
  <c r="E15" i="216" s="1"/>
  <c r="E16" i="216" s="1"/>
  <c r="E17" i="216" s="1"/>
  <c r="E18" i="216" s="1"/>
  <c r="E19" i="216" s="1"/>
  <c r="E20" i="216" s="1"/>
  <c r="E21" i="216" s="1"/>
  <c r="E9" i="37" l="1"/>
  <c r="E9" i="54"/>
  <c r="F33" i="215"/>
  <c r="D33" i="215"/>
  <c r="H30" i="215"/>
  <c r="H29" i="215"/>
  <c r="H32" i="215"/>
  <c r="F26" i="215"/>
  <c r="E34" i="29" s="1"/>
  <c r="D26" i="215"/>
  <c r="D34" i="29" s="1"/>
  <c r="G10" i="215"/>
  <c r="G11" i="215" s="1"/>
  <c r="G12" i="215" s="1"/>
  <c r="G13" i="215" s="1"/>
  <c r="G14" i="215" s="1"/>
  <c r="G15" i="215" s="1"/>
  <c r="G16" i="215" s="1"/>
  <c r="G17" i="215" s="1"/>
  <c r="G18" i="215" s="1"/>
  <c r="G19" i="215" s="1"/>
  <c r="G20" i="215" s="1"/>
  <c r="G21" i="215" s="1"/>
  <c r="G22" i="215" s="1"/>
  <c r="G23" i="215" s="1"/>
  <c r="G24" i="215" s="1"/>
  <c r="E9" i="215"/>
  <c r="H9" i="215" s="1"/>
  <c r="H10" i="215" s="1"/>
  <c r="H11" i="215" s="1"/>
  <c r="H12" i="215" s="1"/>
  <c r="H13" i="215" s="1"/>
  <c r="H14" i="215" s="1"/>
  <c r="H15" i="215" s="1"/>
  <c r="H16" i="215" s="1"/>
  <c r="H17" i="215" s="1"/>
  <c r="H18" i="215" s="1"/>
  <c r="H19" i="215" s="1"/>
  <c r="H20" i="215" s="1"/>
  <c r="H21" i="215" s="1"/>
  <c r="H22" i="215" s="1"/>
  <c r="H23" i="215" s="1"/>
  <c r="H24" i="215" s="1"/>
  <c r="A6" i="215"/>
  <c r="D3" i="215"/>
  <c r="A3" i="215"/>
  <c r="A2" i="215"/>
  <c r="A1" i="215"/>
  <c r="F29" i="78"/>
  <c r="E10" i="215" l="1"/>
  <c r="E11" i="215" s="1"/>
  <c r="E12" i="215" s="1"/>
  <c r="E13" i="215" s="1"/>
  <c r="E14" i="215" s="1"/>
  <c r="E15" i="215" s="1"/>
  <c r="E16" i="215" s="1"/>
  <c r="E17" i="215" s="1"/>
  <c r="E18" i="215" s="1"/>
  <c r="E19" i="215" s="1"/>
  <c r="E20" i="215" s="1"/>
  <c r="E21" i="215" s="1"/>
  <c r="E22" i="215" s="1"/>
  <c r="E23" i="215" s="1"/>
  <c r="E24" i="215" s="1"/>
  <c r="H26" i="215"/>
  <c r="F34" i="29" s="1"/>
  <c r="H31" i="215"/>
  <c r="H33" i="215" s="1"/>
  <c r="E9" i="101"/>
  <c r="F28" i="214"/>
  <c r="E33" i="29" s="1"/>
  <c r="D28" i="214"/>
  <c r="G10" i="214"/>
  <c r="G11" i="214" s="1"/>
  <c r="G12" i="214" s="1"/>
  <c r="G13" i="214" s="1"/>
  <c r="G14" i="214" s="1"/>
  <c r="G15" i="214" s="1"/>
  <c r="G16" i="214" s="1"/>
  <c r="G17" i="214" s="1"/>
  <c r="G18" i="214" s="1"/>
  <c r="G19" i="214" s="1"/>
  <c r="G20" i="214" s="1"/>
  <c r="G21" i="214" s="1"/>
  <c r="G22" i="214" s="1"/>
  <c r="G23" i="214" s="1"/>
  <c r="G24" i="214" s="1"/>
  <c r="G25" i="214" s="1"/>
  <c r="G26" i="214" s="1"/>
  <c r="E9" i="214"/>
  <c r="H9" i="214" s="1"/>
  <c r="H10" i="214" s="1"/>
  <c r="H11" i="214" s="1"/>
  <c r="H12" i="214" s="1"/>
  <c r="H13" i="214" s="1"/>
  <c r="H14" i="214" s="1"/>
  <c r="H15" i="214" s="1"/>
  <c r="H16" i="214" s="1"/>
  <c r="H17" i="214" s="1"/>
  <c r="H18" i="214" s="1"/>
  <c r="H19" i="214" s="1"/>
  <c r="H20" i="214" s="1"/>
  <c r="H21" i="214" s="1"/>
  <c r="H22" i="214" s="1"/>
  <c r="H23" i="214" s="1"/>
  <c r="H24" i="214" s="1"/>
  <c r="H25" i="214" s="1"/>
  <c r="H26" i="214" s="1"/>
  <c r="A6" i="214"/>
  <c r="D3" i="214"/>
  <c r="A3" i="214"/>
  <c r="A2" i="214"/>
  <c r="A1" i="214"/>
  <c r="H28" i="214" l="1"/>
  <c r="F33" i="29" s="1"/>
  <c r="D33" i="29"/>
  <c r="E10" i="214"/>
  <c r="E11" i="214" s="1"/>
  <c r="E12" i="214" s="1"/>
  <c r="E13" i="214" s="1"/>
  <c r="E14" i="214" s="1"/>
  <c r="E15" i="214" s="1"/>
  <c r="E16" i="214" s="1"/>
  <c r="E17" i="214" s="1"/>
  <c r="E18" i="214" s="1"/>
  <c r="E19" i="214" s="1"/>
  <c r="E20" i="214" s="1"/>
  <c r="E21" i="214" s="1"/>
  <c r="E22" i="214" s="1"/>
  <c r="E23" i="214" s="1"/>
  <c r="E24" i="214" s="1"/>
  <c r="E25" i="214" s="1"/>
  <c r="E26" i="214" s="1"/>
  <c r="H27" i="213" l="1"/>
  <c r="H28" i="213"/>
  <c r="D29" i="213"/>
  <c r="F29" i="213"/>
  <c r="F23" i="213"/>
  <c r="E32" i="18" s="1"/>
  <c r="D23" i="213"/>
  <c r="D32" i="18" s="1"/>
  <c r="G10" i="213"/>
  <c r="G11" i="213" s="1"/>
  <c r="G12" i="213" s="1"/>
  <c r="G13" i="213" s="1"/>
  <c r="G14" i="213" s="1"/>
  <c r="G15" i="213" s="1"/>
  <c r="G16" i="213" s="1"/>
  <c r="G17" i="213" s="1"/>
  <c r="G18" i="213" s="1"/>
  <c r="G19" i="213" s="1"/>
  <c r="G20" i="213" s="1"/>
  <c r="G21" i="213" s="1"/>
  <c r="E9" i="213"/>
  <c r="E10" i="213" s="1"/>
  <c r="E11" i="213" s="1"/>
  <c r="E12" i="213" s="1"/>
  <c r="E13" i="213" s="1"/>
  <c r="E14" i="213" s="1"/>
  <c r="E15" i="213" s="1"/>
  <c r="E16" i="213" s="1"/>
  <c r="E17" i="213" s="1"/>
  <c r="E18" i="213" s="1"/>
  <c r="E19" i="213" s="1"/>
  <c r="E20" i="213" s="1"/>
  <c r="E21" i="213" s="1"/>
  <c r="A6" i="213"/>
  <c r="D3" i="213"/>
  <c r="A3" i="213"/>
  <c r="A2" i="213"/>
  <c r="A1" i="213"/>
  <c r="H23" i="213" l="1"/>
  <c r="F32" i="18" s="1"/>
  <c r="H26" i="213"/>
  <c r="H29" i="213" s="1"/>
  <c r="H9" i="213"/>
  <c r="H10" i="213" s="1"/>
  <c r="H11" i="213" s="1"/>
  <c r="H12" i="213" s="1"/>
  <c r="H13" i="213" s="1"/>
  <c r="H14" i="213" s="1"/>
  <c r="H15" i="213" s="1"/>
  <c r="H16" i="213" s="1"/>
  <c r="H17" i="213" s="1"/>
  <c r="H18" i="213" s="1"/>
  <c r="H19" i="213" s="1"/>
  <c r="H20" i="213" s="1"/>
  <c r="H21" i="213" s="1"/>
  <c r="D27" i="147" l="1"/>
  <c r="D26" i="147"/>
  <c r="F29" i="67"/>
  <c r="F30" i="212"/>
  <c r="D30" i="212"/>
  <c r="H29" i="212"/>
  <c r="H28" i="212"/>
  <c r="H27" i="212"/>
  <c r="H26" i="212"/>
  <c r="F23" i="212"/>
  <c r="E31" i="18" s="1"/>
  <c r="D23" i="212"/>
  <c r="G10" i="212"/>
  <c r="G11" i="212" s="1"/>
  <c r="G12" i="212" s="1"/>
  <c r="G13" i="212" s="1"/>
  <c r="G14" i="212" s="1"/>
  <c r="G15" i="212" s="1"/>
  <c r="G16" i="212" s="1"/>
  <c r="G17" i="212" s="1"/>
  <c r="G18" i="212" s="1"/>
  <c r="G19" i="212" s="1"/>
  <c r="G20" i="212" s="1"/>
  <c r="G21" i="212" s="1"/>
  <c r="E9" i="212"/>
  <c r="H9" i="212" s="1"/>
  <c r="H10" i="212" s="1"/>
  <c r="H11" i="212" s="1"/>
  <c r="H12" i="212" s="1"/>
  <c r="H13" i="212" s="1"/>
  <c r="H14" i="212" s="1"/>
  <c r="H15" i="212" s="1"/>
  <c r="H16" i="212" s="1"/>
  <c r="H17" i="212" s="1"/>
  <c r="H18" i="212" s="1"/>
  <c r="H19" i="212" s="1"/>
  <c r="H20" i="212" s="1"/>
  <c r="H21" i="212" s="1"/>
  <c r="A6" i="212"/>
  <c r="D3" i="212"/>
  <c r="A3" i="212"/>
  <c r="A2" i="212"/>
  <c r="A1" i="212"/>
  <c r="F28" i="211"/>
  <c r="E32" i="29" s="1"/>
  <c r="D28" i="211"/>
  <c r="D32" i="29" s="1"/>
  <c r="G10" i="211"/>
  <c r="G11" i="211" s="1"/>
  <c r="G12" i="211" s="1"/>
  <c r="G13" i="211" s="1"/>
  <c r="G14" i="211" s="1"/>
  <c r="G15" i="211" s="1"/>
  <c r="G16" i="211" s="1"/>
  <c r="G17" i="211" s="1"/>
  <c r="G18" i="211" s="1"/>
  <c r="G19" i="211" s="1"/>
  <c r="G20" i="211" s="1"/>
  <c r="G21" i="211" s="1"/>
  <c r="G22" i="211" s="1"/>
  <c r="G23" i="211" s="1"/>
  <c r="G24" i="211" s="1"/>
  <c r="G25" i="211" s="1"/>
  <c r="G26" i="211" s="1"/>
  <c r="E9" i="211"/>
  <c r="E10" i="211" s="1"/>
  <c r="E11" i="211" s="1"/>
  <c r="E12" i="211" s="1"/>
  <c r="E13" i="211" s="1"/>
  <c r="E14" i="211" s="1"/>
  <c r="E15" i="211" s="1"/>
  <c r="E16" i="211" s="1"/>
  <c r="E17" i="211" s="1"/>
  <c r="E18" i="211" s="1"/>
  <c r="E19" i="211" s="1"/>
  <c r="E20" i="211" s="1"/>
  <c r="E21" i="211" s="1"/>
  <c r="E22" i="211" s="1"/>
  <c r="E23" i="211" s="1"/>
  <c r="E24" i="211" s="1"/>
  <c r="E25" i="211" s="1"/>
  <c r="E26" i="211" s="1"/>
  <c r="A6" i="211"/>
  <c r="D3" i="211"/>
  <c r="A3" i="211"/>
  <c r="A2" i="211"/>
  <c r="A1" i="211"/>
  <c r="F28" i="210"/>
  <c r="E31" i="29" s="1"/>
  <c r="D28" i="210"/>
  <c r="D31" i="29" s="1"/>
  <c r="G10" i="210"/>
  <c r="G11" i="210" s="1"/>
  <c r="G12" i="210" s="1"/>
  <c r="G13" i="210" s="1"/>
  <c r="G14" i="210" s="1"/>
  <c r="G15" i="210" s="1"/>
  <c r="G16" i="210" s="1"/>
  <c r="G17" i="210" s="1"/>
  <c r="G18" i="210" s="1"/>
  <c r="G19" i="210" s="1"/>
  <c r="G20" i="210" s="1"/>
  <c r="G21" i="210" s="1"/>
  <c r="G22" i="210" s="1"/>
  <c r="G23" i="210" s="1"/>
  <c r="G24" i="210" s="1"/>
  <c r="G25" i="210" s="1"/>
  <c r="G26" i="210" s="1"/>
  <c r="E9" i="210"/>
  <c r="H9" i="210" s="1"/>
  <c r="H10" i="210" s="1"/>
  <c r="H11" i="210" s="1"/>
  <c r="H12" i="210" s="1"/>
  <c r="H13" i="210" s="1"/>
  <c r="H14" i="210" s="1"/>
  <c r="H15" i="210" s="1"/>
  <c r="H16" i="210" s="1"/>
  <c r="H17" i="210" s="1"/>
  <c r="H18" i="210" s="1"/>
  <c r="H19" i="210" s="1"/>
  <c r="H20" i="210" s="1"/>
  <c r="H21" i="210" s="1"/>
  <c r="H22" i="210" s="1"/>
  <c r="H23" i="210" s="1"/>
  <c r="H24" i="210" s="1"/>
  <c r="H25" i="210" s="1"/>
  <c r="H26" i="210" s="1"/>
  <c r="A6" i="210"/>
  <c r="D3" i="210"/>
  <c r="A3" i="210"/>
  <c r="A2" i="210"/>
  <c r="A1" i="210"/>
  <c r="F28" i="209"/>
  <c r="E30" i="29" s="1"/>
  <c r="D28" i="209"/>
  <c r="D30" i="29" s="1"/>
  <c r="G10" i="209"/>
  <c r="G11" i="209" s="1"/>
  <c r="G12" i="209" s="1"/>
  <c r="G13" i="209" s="1"/>
  <c r="G14" i="209" s="1"/>
  <c r="G15" i="209" s="1"/>
  <c r="G16" i="209" s="1"/>
  <c r="G17" i="209" s="1"/>
  <c r="G18" i="209" s="1"/>
  <c r="G19" i="209" s="1"/>
  <c r="G20" i="209" s="1"/>
  <c r="G21" i="209" s="1"/>
  <c r="G22" i="209" s="1"/>
  <c r="G23" i="209" s="1"/>
  <c r="G24" i="209" s="1"/>
  <c r="G25" i="209" s="1"/>
  <c r="G26" i="209" s="1"/>
  <c r="E9" i="209"/>
  <c r="E10" i="209" s="1"/>
  <c r="E11" i="209" s="1"/>
  <c r="E12" i="209" s="1"/>
  <c r="E13" i="209" s="1"/>
  <c r="E14" i="209" s="1"/>
  <c r="E15" i="209" s="1"/>
  <c r="E16" i="209" s="1"/>
  <c r="E17" i="209" s="1"/>
  <c r="E18" i="209" s="1"/>
  <c r="E19" i="209" s="1"/>
  <c r="E20" i="209" s="1"/>
  <c r="E21" i="209" s="1"/>
  <c r="E22" i="209" s="1"/>
  <c r="E23" i="209" s="1"/>
  <c r="E24" i="209" s="1"/>
  <c r="E25" i="209" s="1"/>
  <c r="E26" i="209" s="1"/>
  <c r="A6" i="209"/>
  <c r="D3" i="209"/>
  <c r="A3" i="209"/>
  <c r="A2" i="209"/>
  <c r="A1" i="209"/>
  <c r="F31" i="96"/>
  <c r="H23" i="212" l="1"/>
  <c r="F31" i="18" s="1"/>
  <c r="D31" i="18"/>
  <c r="H30" i="212"/>
  <c r="E10" i="212"/>
  <c r="E11" i="212" s="1"/>
  <c r="E12" i="212" s="1"/>
  <c r="E13" i="212" s="1"/>
  <c r="E14" i="212" s="1"/>
  <c r="E15" i="212" s="1"/>
  <c r="E16" i="212" s="1"/>
  <c r="E17" i="212" s="1"/>
  <c r="E18" i="212" s="1"/>
  <c r="E19" i="212" s="1"/>
  <c r="E20" i="212" s="1"/>
  <c r="E21" i="212" s="1"/>
  <c r="H28" i="209"/>
  <c r="F30" i="29" s="1"/>
  <c r="H28" i="211"/>
  <c r="F32" i="29" s="1"/>
  <c r="H28" i="210"/>
  <c r="F31" i="29" s="1"/>
  <c r="H9" i="211"/>
  <c r="H10" i="211" s="1"/>
  <c r="H11" i="211" s="1"/>
  <c r="H12" i="211" s="1"/>
  <c r="H13" i="211" s="1"/>
  <c r="H14" i="211" s="1"/>
  <c r="H15" i="211" s="1"/>
  <c r="H16" i="211" s="1"/>
  <c r="H17" i="211" s="1"/>
  <c r="H18" i="211" s="1"/>
  <c r="H19" i="211" s="1"/>
  <c r="H20" i="211" s="1"/>
  <c r="H21" i="211" s="1"/>
  <c r="H22" i="211" s="1"/>
  <c r="H23" i="211" s="1"/>
  <c r="H24" i="211" s="1"/>
  <c r="H25" i="211" s="1"/>
  <c r="H26" i="211" s="1"/>
  <c r="E10" i="210"/>
  <c r="E11" i="210" s="1"/>
  <c r="E12" i="210" s="1"/>
  <c r="E13" i="210" s="1"/>
  <c r="E14" i="210" s="1"/>
  <c r="E15" i="210" s="1"/>
  <c r="E16" i="210" s="1"/>
  <c r="E17" i="210" s="1"/>
  <c r="E18" i="210" s="1"/>
  <c r="E19" i="210" s="1"/>
  <c r="E20" i="210" s="1"/>
  <c r="E21" i="210" s="1"/>
  <c r="E22" i="210" s="1"/>
  <c r="E23" i="210" s="1"/>
  <c r="E24" i="210" s="1"/>
  <c r="E25" i="210" s="1"/>
  <c r="E26" i="210" s="1"/>
  <c r="H9" i="209"/>
  <c r="H10" i="209" s="1"/>
  <c r="H11" i="209" s="1"/>
  <c r="H12" i="209" s="1"/>
  <c r="H13" i="209" s="1"/>
  <c r="H14" i="209" s="1"/>
  <c r="H15" i="209" s="1"/>
  <c r="H16" i="209" s="1"/>
  <c r="H17" i="209" s="1"/>
  <c r="H18" i="209" s="1"/>
  <c r="H19" i="209" s="1"/>
  <c r="H20" i="209" s="1"/>
  <c r="H21" i="209" s="1"/>
  <c r="H22" i="209" s="1"/>
  <c r="H23" i="209" s="1"/>
  <c r="H24" i="209" s="1"/>
  <c r="H25" i="209" s="1"/>
  <c r="H26" i="209" s="1"/>
  <c r="F28" i="208"/>
  <c r="E29" i="29" s="1"/>
  <c r="D28" i="208"/>
  <c r="G10" i="208"/>
  <c r="G11" i="208" s="1"/>
  <c r="G12" i="208" s="1"/>
  <c r="G13" i="208" s="1"/>
  <c r="G14" i="208" s="1"/>
  <c r="G15" i="208" s="1"/>
  <c r="G16" i="208" s="1"/>
  <c r="G17" i="208" s="1"/>
  <c r="G18" i="208" s="1"/>
  <c r="G19" i="208" s="1"/>
  <c r="G20" i="208" s="1"/>
  <c r="G21" i="208" s="1"/>
  <c r="G22" i="208" s="1"/>
  <c r="G23" i="208" s="1"/>
  <c r="G24" i="208" s="1"/>
  <c r="G25" i="208" s="1"/>
  <c r="G26" i="208" s="1"/>
  <c r="E9" i="208"/>
  <c r="E10" i="208" s="1"/>
  <c r="E11" i="208" s="1"/>
  <c r="E12" i="208" s="1"/>
  <c r="E13" i="208" s="1"/>
  <c r="E14" i="208" s="1"/>
  <c r="E15" i="208" s="1"/>
  <c r="E16" i="208" s="1"/>
  <c r="E17" i="208" s="1"/>
  <c r="E18" i="208" s="1"/>
  <c r="E19" i="208" s="1"/>
  <c r="E20" i="208" s="1"/>
  <c r="E21" i="208" s="1"/>
  <c r="E22" i="208" s="1"/>
  <c r="E23" i="208" s="1"/>
  <c r="E24" i="208" s="1"/>
  <c r="E25" i="208" s="1"/>
  <c r="E26" i="208" s="1"/>
  <c r="A6" i="208"/>
  <c r="D3" i="208"/>
  <c r="A3" i="208"/>
  <c r="A2" i="208"/>
  <c r="A1" i="208"/>
  <c r="F28" i="207"/>
  <c r="E28" i="29" s="1"/>
  <c r="D28" i="207"/>
  <c r="G10" i="207"/>
  <c r="G11" i="207" s="1"/>
  <c r="G12" i="207" s="1"/>
  <c r="G13" i="207" s="1"/>
  <c r="G14" i="207" s="1"/>
  <c r="G15" i="207" s="1"/>
  <c r="G16" i="207" s="1"/>
  <c r="G17" i="207" s="1"/>
  <c r="G18" i="207" s="1"/>
  <c r="G19" i="207" s="1"/>
  <c r="G20" i="207" s="1"/>
  <c r="G21" i="207" s="1"/>
  <c r="G22" i="207" s="1"/>
  <c r="G23" i="207" s="1"/>
  <c r="G24" i="207" s="1"/>
  <c r="G25" i="207" s="1"/>
  <c r="G26" i="207" s="1"/>
  <c r="E9" i="207"/>
  <c r="E10" i="207" s="1"/>
  <c r="E11" i="207" s="1"/>
  <c r="E12" i="207" s="1"/>
  <c r="E13" i="207" s="1"/>
  <c r="E14" i="207" s="1"/>
  <c r="E15" i="207" s="1"/>
  <c r="E16" i="207" s="1"/>
  <c r="E17" i="207" s="1"/>
  <c r="E18" i="207" s="1"/>
  <c r="E19" i="207" s="1"/>
  <c r="E20" i="207" s="1"/>
  <c r="E21" i="207" s="1"/>
  <c r="E22" i="207" s="1"/>
  <c r="E23" i="207" s="1"/>
  <c r="E24" i="207" s="1"/>
  <c r="E25" i="207" s="1"/>
  <c r="E26" i="207" s="1"/>
  <c r="A6" i="207"/>
  <c r="D3" i="207"/>
  <c r="A3" i="207"/>
  <c r="A2" i="207"/>
  <c r="A1" i="207"/>
  <c r="F28" i="206"/>
  <c r="E27" i="29" s="1"/>
  <c r="D28" i="206"/>
  <c r="G10" i="206"/>
  <c r="G11" i="206" s="1"/>
  <c r="G12" i="206" s="1"/>
  <c r="G13" i="206" s="1"/>
  <c r="G14" i="206" s="1"/>
  <c r="G15" i="206" s="1"/>
  <c r="G16" i="206" s="1"/>
  <c r="G17" i="206" s="1"/>
  <c r="G18" i="206" s="1"/>
  <c r="G19" i="206" s="1"/>
  <c r="G20" i="206" s="1"/>
  <c r="G21" i="206" s="1"/>
  <c r="G22" i="206" s="1"/>
  <c r="G23" i="206" s="1"/>
  <c r="G24" i="206" s="1"/>
  <c r="G25" i="206" s="1"/>
  <c r="G26" i="206" s="1"/>
  <c r="E9" i="206"/>
  <c r="E10" i="206" s="1"/>
  <c r="E11" i="206" s="1"/>
  <c r="E12" i="206" s="1"/>
  <c r="E13" i="206" s="1"/>
  <c r="E14" i="206" s="1"/>
  <c r="E15" i="206" s="1"/>
  <c r="E16" i="206" s="1"/>
  <c r="E17" i="206" s="1"/>
  <c r="E18" i="206" s="1"/>
  <c r="E19" i="206" s="1"/>
  <c r="E20" i="206" s="1"/>
  <c r="E21" i="206" s="1"/>
  <c r="E22" i="206" s="1"/>
  <c r="E23" i="206" s="1"/>
  <c r="E24" i="206" s="1"/>
  <c r="E25" i="206" s="1"/>
  <c r="E26" i="206" s="1"/>
  <c r="A6" i="206"/>
  <c r="D3" i="206"/>
  <c r="A3" i="206"/>
  <c r="A2" i="206"/>
  <c r="A1" i="206"/>
  <c r="F28" i="205"/>
  <c r="E26" i="29" s="1"/>
  <c r="D28" i="205"/>
  <c r="G10" i="205"/>
  <c r="G11" i="205" s="1"/>
  <c r="G12" i="205" s="1"/>
  <c r="G13" i="205" s="1"/>
  <c r="G14" i="205" s="1"/>
  <c r="G15" i="205" s="1"/>
  <c r="G16" i="205" s="1"/>
  <c r="G17" i="205" s="1"/>
  <c r="G18" i="205" s="1"/>
  <c r="G19" i="205" s="1"/>
  <c r="G20" i="205" s="1"/>
  <c r="G21" i="205" s="1"/>
  <c r="G22" i="205" s="1"/>
  <c r="G23" i="205" s="1"/>
  <c r="G24" i="205" s="1"/>
  <c r="G25" i="205" s="1"/>
  <c r="G26" i="205" s="1"/>
  <c r="E9" i="205"/>
  <c r="E10" i="205" s="1"/>
  <c r="E11" i="205" s="1"/>
  <c r="E12" i="205" s="1"/>
  <c r="E13" i="205" s="1"/>
  <c r="E14" i="205" s="1"/>
  <c r="E15" i="205" s="1"/>
  <c r="E16" i="205" s="1"/>
  <c r="E17" i="205" s="1"/>
  <c r="E18" i="205" s="1"/>
  <c r="E19" i="205" s="1"/>
  <c r="E20" i="205" s="1"/>
  <c r="E21" i="205" s="1"/>
  <c r="E22" i="205" s="1"/>
  <c r="E23" i="205" s="1"/>
  <c r="E24" i="205" s="1"/>
  <c r="E25" i="205" s="1"/>
  <c r="E26" i="205" s="1"/>
  <c r="A6" i="205"/>
  <c r="D3" i="205"/>
  <c r="A3" i="205"/>
  <c r="A2" i="205"/>
  <c r="A1" i="205"/>
  <c r="F28" i="204"/>
  <c r="E25" i="29" s="1"/>
  <c r="D28" i="204"/>
  <c r="D25" i="29" s="1"/>
  <c r="G10" i="204"/>
  <c r="G11" i="204" s="1"/>
  <c r="G12" i="204" s="1"/>
  <c r="G13" i="204" s="1"/>
  <c r="G14" i="204" s="1"/>
  <c r="G15" i="204" s="1"/>
  <c r="G16" i="204" s="1"/>
  <c r="G17" i="204" s="1"/>
  <c r="G18" i="204" s="1"/>
  <c r="G19" i="204" s="1"/>
  <c r="G20" i="204" s="1"/>
  <c r="G21" i="204" s="1"/>
  <c r="G22" i="204" s="1"/>
  <c r="G23" i="204" s="1"/>
  <c r="G24" i="204" s="1"/>
  <c r="G25" i="204" s="1"/>
  <c r="G26" i="204" s="1"/>
  <c r="E9" i="204"/>
  <c r="H9" i="204" s="1"/>
  <c r="H10" i="204" s="1"/>
  <c r="H11" i="204" s="1"/>
  <c r="H12" i="204" s="1"/>
  <c r="H13" i="204" s="1"/>
  <c r="H14" i="204" s="1"/>
  <c r="H15" i="204" s="1"/>
  <c r="H16" i="204" s="1"/>
  <c r="H17" i="204" s="1"/>
  <c r="H18" i="204" s="1"/>
  <c r="H19" i="204" s="1"/>
  <c r="H20" i="204" s="1"/>
  <c r="H21" i="204" s="1"/>
  <c r="H22" i="204" s="1"/>
  <c r="H23" i="204" s="1"/>
  <c r="H24" i="204" s="1"/>
  <c r="H25" i="204" s="1"/>
  <c r="H26" i="204" s="1"/>
  <c r="A6" i="204"/>
  <c r="D3" i="204"/>
  <c r="A3" i="204"/>
  <c r="A2" i="204"/>
  <c r="A1" i="204"/>
  <c r="F28" i="203"/>
  <c r="E24" i="29" s="1"/>
  <c r="D28" i="203"/>
  <c r="D24" i="29" s="1"/>
  <c r="G10" i="203"/>
  <c r="G11" i="203" s="1"/>
  <c r="G12" i="203" s="1"/>
  <c r="G13" i="203" s="1"/>
  <c r="G14" i="203" s="1"/>
  <c r="G15" i="203" s="1"/>
  <c r="G16" i="203" s="1"/>
  <c r="G17" i="203" s="1"/>
  <c r="G18" i="203" s="1"/>
  <c r="G19" i="203" s="1"/>
  <c r="G20" i="203" s="1"/>
  <c r="G21" i="203" s="1"/>
  <c r="G22" i="203" s="1"/>
  <c r="G23" i="203" s="1"/>
  <c r="G24" i="203" s="1"/>
  <c r="G25" i="203" s="1"/>
  <c r="G26" i="203" s="1"/>
  <c r="E9" i="203"/>
  <c r="E10" i="203" s="1"/>
  <c r="E11" i="203" s="1"/>
  <c r="E12" i="203" s="1"/>
  <c r="E13" i="203" s="1"/>
  <c r="E14" i="203" s="1"/>
  <c r="E15" i="203" s="1"/>
  <c r="E16" i="203" s="1"/>
  <c r="E17" i="203" s="1"/>
  <c r="E18" i="203" s="1"/>
  <c r="E19" i="203" s="1"/>
  <c r="E20" i="203" s="1"/>
  <c r="E21" i="203" s="1"/>
  <c r="E22" i="203" s="1"/>
  <c r="E23" i="203" s="1"/>
  <c r="E24" i="203" s="1"/>
  <c r="E25" i="203" s="1"/>
  <c r="E26" i="203" s="1"/>
  <c r="A6" i="203"/>
  <c r="D3" i="203"/>
  <c r="A3" i="203"/>
  <c r="A2" i="203"/>
  <c r="A1" i="203"/>
  <c r="F28" i="202"/>
  <c r="E23" i="29" s="1"/>
  <c r="D28" i="202"/>
  <c r="G10" i="202"/>
  <c r="G11" i="202" s="1"/>
  <c r="G12" i="202" s="1"/>
  <c r="G13" i="202" s="1"/>
  <c r="G14" i="202" s="1"/>
  <c r="G15" i="202" s="1"/>
  <c r="G16" i="202" s="1"/>
  <c r="G17" i="202" s="1"/>
  <c r="G18" i="202" s="1"/>
  <c r="G19" i="202" s="1"/>
  <c r="G20" i="202" s="1"/>
  <c r="G21" i="202" s="1"/>
  <c r="G22" i="202" s="1"/>
  <c r="G23" i="202" s="1"/>
  <c r="G24" i="202" s="1"/>
  <c r="G25" i="202" s="1"/>
  <c r="G26" i="202" s="1"/>
  <c r="E9" i="202"/>
  <c r="E10" i="202" s="1"/>
  <c r="E11" i="202" s="1"/>
  <c r="E12" i="202" s="1"/>
  <c r="E13" i="202" s="1"/>
  <c r="E14" i="202" s="1"/>
  <c r="E15" i="202" s="1"/>
  <c r="E16" i="202" s="1"/>
  <c r="E17" i="202" s="1"/>
  <c r="E18" i="202" s="1"/>
  <c r="E19" i="202" s="1"/>
  <c r="E20" i="202" s="1"/>
  <c r="E21" i="202" s="1"/>
  <c r="E22" i="202" s="1"/>
  <c r="E23" i="202" s="1"/>
  <c r="E24" i="202" s="1"/>
  <c r="E25" i="202" s="1"/>
  <c r="E26" i="202" s="1"/>
  <c r="A6" i="202"/>
  <c r="D3" i="202"/>
  <c r="A3" i="202"/>
  <c r="A2" i="202"/>
  <c r="A1" i="202"/>
  <c r="F28" i="201"/>
  <c r="E22" i="29" s="1"/>
  <c r="D28" i="201"/>
  <c r="G10" i="201"/>
  <c r="G11" i="201" s="1"/>
  <c r="G12" i="201" s="1"/>
  <c r="G13" i="201" s="1"/>
  <c r="G14" i="201" s="1"/>
  <c r="G15" i="201" s="1"/>
  <c r="G16" i="201" s="1"/>
  <c r="G17" i="201" s="1"/>
  <c r="G18" i="201" s="1"/>
  <c r="G19" i="201" s="1"/>
  <c r="G20" i="201" s="1"/>
  <c r="G21" i="201" s="1"/>
  <c r="G22" i="201" s="1"/>
  <c r="G23" i="201" s="1"/>
  <c r="G24" i="201" s="1"/>
  <c r="G25" i="201" s="1"/>
  <c r="G26" i="201" s="1"/>
  <c r="E9" i="201"/>
  <c r="E10" i="201" s="1"/>
  <c r="E11" i="201" s="1"/>
  <c r="E12" i="201" s="1"/>
  <c r="E13" i="201" s="1"/>
  <c r="E14" i="201" s="1"/>
  <c r="E15" i="201" s="1"/>
  <c r="E16" i="201" s="1"/>
  <c r="E17" i="201" s="1"/>
  <c r="E18" i="201" s="1"/>
  <c r="E19" i="201" s="1"/>
  <c r="E20" i="201" s="1"/>
  <c r="E21" i="201" s="1"/>
  <c r="E22" i="201" s="1"/>
  <c r="E23" i="201" s="1"/>
  <c r="E24" i="201" s="1"/>
  <c r="E25" i="201" s="1"/>
  <c r="E26" i="201" s="1"/>
  <c r="A6" i="201"/>
  <c r="D3" i="201"/>
  <c r="A3" i="201"/>
  <c r="A2" i="201"/>
  <c r="A1" i="201"/>
  <c r="F28" i="200"/>
  <c r="E21" i="29" s="1"/>
  <c r="D28" i="200"/>
  <c r="G10" i="200"/>
  <c r="G11" i="200" s="1"/>
  <c r="G12" i="200" s="1"/>
  <c r="G13" i="200" s="1"/>
  <c r="G14" i="200" s="1"/>
  <c r="G15" i="200" s="1"/>
  <c r="G16" i="200" s="1"/>
  <c r="G17" i="200" s="1"/>
  <c r="G18" i="200" s="1"/>
  <c r="G19" i="200" s="1"/>
  <c r="G20" i="200" s="1"/>
  <c r="G21" i="200" s="1"/>
  <c r="G22" i="200" s="1"/>
  <c r="G23" i="200" s="1"/>
  <c r="G24" i="200" s="1"/>
  <c r="G25" i="200" s="1"/>
  <c r="G26" i="200" s="1"/>
  <c r="E9" i="200"/>
  <c r="E10" i="200" s="1"/>
  <c r="E11" i="200" s="1"/>
  <c r="E12" i="200" s="1"/>
  <c r="E13" i="200" s="1"/>
  <c r="E14" i="200" s="1"/>
  <c r="E15" i="200" s="1"/>
  <c r="E16" i="200" s="1"/>
  <c r="E17" i="200" s="1"/>
  <c r="E18" i="200" s="1"/>
  <c r="E19" i="200" s="1"/>
  <c r="E20" i="200" s="1"/>
  <c r="E21" i="200" s="1"/>
  <c r="E22" i="200" s="1"/>
  <c r="E23" i="200" s="1"/>
  <c r="E24" i="200" s="1"/>
  <c r="E25" i="200" s="1"/>
  <c r="E26" i="200" s="1"/>
  <c r="A6" i="200"/>
  <c r="D3" i="200"/>
  <c r="A3" i="200"/>
  <c r="A2" i="200"/>
  <c r="A1" i="200"/>
  <c r="F28" i="199"/>
  <c r="E20" i="29" s="1"/>
  <c r="D28" i="199"/>
  <c r="G10" i="199"/>
  <c r="G11" i="199" s="1"/>
  <c r="G12" i="199" s="1"/>
  <c r="G13" i="199" s="1"/>
  <c r="G14" i="199" s="1"/>
  <c r="G15" i="199" s="1"/>
  <c r="G16" i="199" s="1"/>
  <c r="G17" i="199" s="1"/>
  <c r="G18" i="199" s="1"/>
  <c r="G19" i="199" s="1"/>
  <c r="G20" i="199" s="1"/>
  <c r="G21" i="199" s="1"/>
  <c r="G22" i="199" s="1"/>
  <c r="G23" i="199" s="1"/>
  <c r="G24" i="199" s="1"/>
  <c r="G25" i="199" s="1"/>
  <c r="G26" i="199" s="1"/>
  <c r="E9" i="199"/>
  <c r="E10" i="199" s="1"/>
  <c r="E11" i="199" s="1"/>
  <c r="E12" i="199" s="1"/>
  <c r="E13" i="199" s="1"/>
  <c r="E14" i="199" s="1"/>
  <c r="E15" i="199" s="1"/>
  <c r="E16" i="199" s="1"/>
  <c r="E17" i="199" s="1"/>
  <c r="E18" i="199" s="1"/>
  <c r="E19" i="199" s="1"/>
  <c r="E20" i="199" s="1"/>
  <c r="E21" i="199" s="1"/>
  <c r="E22" i="199" s="1"/>
  <c r="E23" i="199" s="1"/>
  <c r="E24" i="199" s="1"/>
  <c r="E25" i="199" s="1"/>
  <c r="E26" i="199" s="1"/>
  <c r="A6" i="199"/>
  <c r="D3" i="199"/>
  <c r="A3" i="199"/>
  <c r="A2" i="199"/>
  <c r="A1" i="199"/>
  <c r="E9" i="162"/>
  <c r="H28" i="208" l="1"/>
  <c r="F29" i="29" s="1"/>
  <c r="H28" i="207"/>
  <c r="F28" i="29" s="1"/>
  <c r="H28" i="202"/>
  <c r="F23" i="29" s="1"/>
  <c r="H28" i="199"/>
  <c r="F20" i="29" s="1"/>
  <c r="D20" i="29"/>
  <c r="H28" i="206"/>
  <c r="F27" i="29" s="1"/>
  <c r="H28" i="200"/>
  <c r="F21" i="29" s="1"/>
  <c r="D21" i="29"/>
  <c r="D28" i="29"/>
  <c r="H28" i="203"/>
  <c r="F24" i="29" s="1"/>
  <c r="D27" i="29"/>
  <c r="H28" i="201"/>
  <c r="F22" i="29" s="1"/>
  <c r="H28" i="205"/>
  <c r="F26" i="29" s="1"/>
  <c r="D22" i="29"/>
  <c r="D23" i="29"/>
  <c r="D26" i="29"/>
  <c r="D29" i="29"/>
  <c r="H9" i="208"/>
  <c r="H10" i="208" s="1"/>
  <c r="H11" i="208" s="1"/>
  <c r="H12" i="208" s="1"/>
  <c r="H13" i="208" s="1"/>
  <c r="H14" i="208" s="1"/>
  <c r="H15" i="208" s="1"/>
  <c r="H16" i="208" s="1"/>
  <c r="H17" i="208" s="1"/>
  <c r="H18" i="208" s="1"/>
  <c r="H19" i="208" s="1"/>
  <c r="H20" i="208" s="1"/>
  <c r="H21" i="208" s="1"/>
  <c r="H22" i="208" s="1"/>
  <c r="H23" i="208" s="1"/>
  <c r="H24" i="208" s="1"/>
  <c r="H25" i="208" s="1"/>
  <c r="H26" i="208" s="1"/>
  <c r="H9" i="207"/>
  <c r="H10" i="207" s="1"/>
  <c r="H11" i="207" s="1"/>
  <c r="H12" i="207" s="1"/>
  <c r="H13" i="207" s="1"/>
  <c r="H14" i="207" s="1"/>
  <c r="H15" i="207" s="1"/>
  <c r="H16" i="207" s="1"/>
  <c r="H17" i="207" s="1"/>
  <c r="H18" i="207" s="1"/>
  <c r="H19" i="207" s="1"/>
  <c r="H20" i="207" s="1"/>
  <c r="H21" i="207" s="1"/>
  <c r="H22" i="207" s="1"/>
  <c r="H23" i="207" s="1"/>
  <c r="H24" i="207" s="1"/>
  <c r="H25" i="207" s="1"/>
  <c r="H26" i="207" s="1"/>
  <c r="H9" i="206"/>
  <c r="H10" i="206" s="1"/>
  <c r="H11" i="206" s="1"/>
  <c r="H12" i="206" s="1"/>
  <c r="H13" i="206" s="1"/>
  <c r="H14" i="206" s="1"/>
  <c r="H15" i="206" s="1"/>
  <c r="H16" i="206" s="1"/>
  <c r="H17" i="206" s="1"/>
  <c r="H18" i="206" s="1"/>
  <c r="H19" i="206" s="1"/>
  <c r="H20" i="206" s="1"/>
  <c r="H21" i="206" s="1"/>
  <c r="H22" i="206" s="1"/>
  <c r="H23" i="206" s="1"/>
  <c r="H24" i="206" s="1"/>
  <c r="H25" i="206" s="1"/>
  <c r="H26" i="206" s="1"/>
  <c r="H9" i="205"/>
  <c r="H10" i="205" s="1"/>
  <c r="H11" i="205" s="1"/>
  <c r="H12" i="205" s="1"/>
  <c r="H13" i="205" s="1"/>
  <c r="H14" i="205" s="1"/>
  <c r="H15" i="205" s="1"/>
  <c r="H16" i="205" s="1"/>
  <c r="H17" i="205" s="1"/>
  <c r="H18" i="205" s="1"/>
  <c r="H19" i="205" s="1"/>
  <c r="H20" i="205" s="1"/>
  <c r="H21" i="205" s="1"/>
  <c r="H22" i="205" s="1"/>
  <c r="H23" i="205" s="1"/>
  <c r="H24" i="205" s="1"/>
  <c r="H25" i="205" s="1"/>
  <c r="H26" i="205" s="1"/>
  <c r="E10" i="204"/>
  <c r="E11" i="204" s="1"/>
  <c r="E12" i="204" s="1"/>
  <c r="E13" i="204" s="1"/>
  <c r="E14" i="204" s="1"/>
  <c r="E15" i="204" s="1"/>
  <c r="E16" i="204" s="1"/>
  <c r="E17" i="204" s="1"/>
  <c r="E18" i="204" s="1"/>
  <c r="E19" i="204" s="1"/>
  <c r="E20" i="204" s="1"/>
  <c r="E21" i="204" s="1"/>
  <c r="E22" i="204" s="1"/>
  <c r="E23" i="204" s="1"/>
  <c r="E24" i="204" s="1"/>
  <c r="E25" i="204" s="1"/>
  <c r="E26" i="204" s="1"/>
  <c r="H28" i="204"/>
  <c r="F25" i="29" s="1"/>
  <c r="H9" i="203"/>
  <c r="H10" i="203" s="1"/>
  <c r="H11" i="203" s="1"/>
  <c r="H12" i="203" s="1"/>
  <c r="H13" i="203" s="1"/>
  <c r="H14" i="203" s="1"/>
  <c r="H15" i="203" s="1"/>
  <c r="H16" i="203" s="1"/>
  <c r="H17" i="203" s="1"/>
  <c r="H18" i="203" s="1"/>
  <c r="H19" i="203" s="1"/>
  <c r="H20" i="203" s="1"/>
  <c r="H21" i="203" s="1"/>
  <c r="H22" i="203" s="1"/>
  <c r="H23" i="203" s="1"/>
  <c r="H24" i="203" s="1"/>
  <c r="H25" i="203" s="1"/>
  <c r="H26" i="203" s="1"/>
  <c r="H9" i="202"/>
  <c r="H10" i="202" s="1"/>
  <c r="H11" i="202" s="1"/>
  <c r="H12" i="202" s="1"/>
  <c r="H13" i="202" s="1"/>
  <c r="H14" i="202" s="1"/>
  <c r="H15" i="202" s="1"/>
  <c r="H16" i="202" s="1"/>
  <c r="H17" i="202" s="1"/>
  <c r="H18" i="202" s="1"/>
  <c r="H19" i="202" s="1"/>
  <c r="H20" i="202" s="1"/>
  <c r="H21" i="202" s="1"/>
  <c r="H22" i="202" s="1"/>
  <c r="H23" i="202" s="1"/>
  <c r="H24" i="202" s="1"/>
  <c r="H25" i="202" s="1"/>
  <c r="H26" i="202" s="1"/>
  <c r="H9" i="201"/>
  <c r="H10" i="201" s="1"/>
  <c r="H11" i="201" s="1"/>
  <c r="H12" i="201" s="1"/>
  <c r="H13" i="201" s="1"/>
  <c r="H14" i="201" s="1"/>
  <c r="H15" i="201" s="1"/>
  <c r="H16" i="201" s="1"/>
  <c r="H17" i="201" s="1"/>
  <c r="H18" i="201" s="1"/>
  <c r="H19" i="201" s="1"/>
  <c r="H20" i="201" s="1"/>
  <c r="H21" i="201" s="1"/>
  <c r="H22" i="201" s="1"/>
  <c r="H23" i="201" s="1"/>
  <c r="H24" i="201" s="1"/>
  <c r="H25" i="201" s="1"/>
  <c r="H26" i="201" s="1"/>
  <c r="H9" i="200"/>
  <c r="H10" i="200" s="1"/>
  <c r="H11" i="200" s="1"/>
  <c r="H12" i="200" s="1"/>
  <c r="H13" i="200" s="1"/>
  <c r="H14" i="200" s="1"/>
  <c r="H15" i="200" s="1"/>
  <c r="H16" i="200" s="1"/>
  <c r="H17" i="200" s="1"/>
  <c r="H18" i="200" s="1"/>
  <c r="H19" i="200" s="1"/>
  <c r="H20" i="200" s="1"/>
  <c r="H21" i="200" s="1"/>
  <c r="H22" i="200" s="1"/>
  <c r="H23" i="200" s="1"/>
  <c r="H24" i="200" s="1"/>
  <c r="H25" i="200" s="1"/>
  <c r="H26" i="200" s="1"/>
  <c r="H9" i="199"/>
  <c r="H10" i="199" s="1"/>
  <c r="H11" i="199" s="1"/>
  <c r="H12" i="199" s="1"/>
  <c r="H13" i="199" s="1"/>
  <c r="H14" i="199" s="1"/>
  <c r="H15" i="199" s="1"/>
  <c r="H16" i="199" s="1"/>
  <c r="H17" i="199" s="1"/>
  <c r="H18" i="199" s="1"/>
  <c r="H19" i="199" s="1"/>
  <c r="H20" i="199" s="1"/>
  <c r="H21" i="199" s="1"/>
  <c r="H22" i="199" s="1"/>
  <c r="H23" i="199" s="1"/>
  <c r="H24" i="199" s="1"/>
  <c r="H25" i="199" s="1"/>
  <c r="H26" i="199" s="1"/>
  <c r="H27" i="198"/>
  <c r="F28" i="198"/>
  <c r="D28" i="198"/>
  <c r="F23" i="198"/>
  <c r="E16" i="139" s="1"/>
  <c r="D23" i="198"/>
  <c r="D16" i="139" s="1"/>
  <c r="G10" i="198"/>
  <c r="G11" i="198" s="1"/>
  <c r="G12" i="198" s="1"/>
  <c r="G13" i="198" s="1"/>
  <c r="G14" i="198" s="1"/>
  <c r="G15" i="198" s="1"/>
  <c r="G16" i="198" s="1"/>
  <c r="G17" i="198" s="1"/>
  <c r="G18" i="198" s="1"/>
  <c r="G19" i="198" s="1"/>
  <c r="G20" i="198" s="1"/>
  <c r="G21" i="198" s="1"/>
  <c r="E9" i="198"/>
  <c r="H9" i="198" s="1"/>
  <c r="H10" i="198" s="1"/>
  <c r="H11" i="198" s="1"/>
  <c r="H12" i="198" s="1"/>
  <c r="H13" i="198" s="1"/>
  <c r="H14" i="198" s="1"/>
  <c r="H15" i="198" s="1"/>
  <c r="H16" i="198" s="1"/>
  <c r="H17" i="198" s="1"/>
  <c r="H18" i="198" s="1"/>
  <c r="H19" i="198" s="1"/>
  <c r="H20" i="198" s="1"/>
  <c r="H21" i="198" s="1"/>
  <c r="A6" i="198"/>
  <c r="D3" i="198"/>
  <c r="A3" i="198"/>
  <c r="A2" i="198"/>
  <c r="A1" i="198"/>
  <c r="I12" i="180"/>
  <c r="I13" i="180" s="1"/>
  <c r="H30" i="178"/>
  <c r="H23" i="198" l="1"/>
  <c r="F16" i="139" s="1"/>
  <c r="E10" i="198"/>
  <c r="E11" i="198" s="1"/>
  <c r="E12" i="198" s="1"/>
  <c r="E13" i="198" s="1"/>
  <c r="E14" i="198" s="1"/>
  <c r="E15" i="198" s="1"/>
  <c r="E16" i="198" s="1"/>
  <c r="E17" i="198" s="1"/>
  <c r="E18" i="198" s="1"/>
  <c r="E19" i="198" s="1"/>
  <c r="E20" i="198" s="1"/>
  <c r="E21" i="198" s="1"/>
  <c r="H26" i="198"/>
  <c r="H28" i="198" s="1"/>
  <c r="D34" i="197"/>
  <c r="H33" i="197"/>
  <c r="H32" i="197"/>
  <c r="H31" i="197"/>
  <c r="F34" i="197"/>
  <c r="F28" i="197"/>
  <c r="E19" i="29" s="1"/>
  <c r="D28" i="197"/>
  <c r="D19" i="29" s="1"/>
  <c r="G10" i="197"/>
  <c r="G11" i="197" s="1"/>
  <c r="G12" i="197" s="1"/>
  <c r="G13" i="197" s="1"/>
  <c r="G14" i="197" s="1"/>
  <c r="G15" i="197" s="1"/>
  <c r="G16" i="197" s="1"/>
  <c r="G17" i="197" s="1"/>
  <c r="G18" i="197" s="1"/>
  <c r="G19" i="197" s="1"/>
  <c r="G20" i="197" s="1"/>
  <c r="G21" i="197" s="1"/>
  <c r="G22" i="197" s="1"/>
  <c r="G23" i="197" s="1"/>
  <c r="G24" i="197" s="1"/>
  <c r="G25" i="197" s="1"/>
  <c r="G26" i="197" s="1"/>
  <c r="E9" i="197"/>
  <c r="E10" i="197" s="1"/>
  <c r="E11" i="197" s="1"/>
  <c r="E12" i="197" s="1"/>
  <c r="E13" i="197" s="1"/>
  <c r="E14" i="197" s="1"/>
  <c r="E15" i="197" s="1"/>
  <c r="E16" i="197" s="1"/>
  <c r="E17" i="197" s="1"/>
  <c r="E18" i="197" s="1"/>
  <c r="E19" i="197" s="1"/>
  <c r="E20" i="197" s="1"/>
  <c r="E21" i="197" s="1"/>
  <c r="E22" i="197" s="1"/>
  <c r="E23" i="197" s="1"/>
  <c r="E24" i="197" s="1"/>
  <c r="E25" i="197" s="1"/>
  <c r="E26" i="197" s="1"/>
  <c r="A6" i="197"/>
  <c r="D3" i="197"/>
  <c r="A3" i="197"/>
  <c r="A2" i="197"/>
  <c r="A1" i="197"/>
  <c r="H45" i="64"/>
  <c r="D46" i="64"/>
  <c r="F37" i="71"/>
  <c r="F31" i="71"/>
  <c r="H28" i="118"/>
  <c r="D29" i="118"/>
  <c r="E9" i="142"/>
  <c r="I14" i="181"/>
  <c r="I15" i="181" s="1"/>
  <c r="I16" i="181" s="1"/>
  <c r="I17" i="181" s="1"/>
  <c r="H34" i="197" l="1"/>
  <c r="H28" i="197"/>
  <c r="F19" i="29" s="1"/>
  <c r="H9" i="197"/>
  <c r="H10" i="197" s="1"/>
  <c r="H11" i="197" s="1"/>
  <c r="H12" i="197" s="1"/>
  <c r="H13" i="197" s="1"/>
  <c r="H14" i="197" s="1"/>
  <c r="H15" i="197" s="1"/>
  <c r="H16" i="197" s="1"/>
  <c r="H17" i="197" s="1"/>
  <c r="H18" i="197" s="1"/>
  <c r="H19" i="197" s="1"/>
  <c r="H20" i="197" s="1"/>
  <c r="H21" i="197" s="1"/>
  <c r="H22" i="197" s="1"/>
  <c r="H23" i="197" s="1"/>
  <c r="H24" i="197" s="1"/>
  <c r="H25" i="197" s="1"/>
  <c r="H26" i="197" s="1"/>
  <c r="H43" i="71"/>
  <c r="D27" i="161"/>
  <c r="D26" i="161"/>
  <c r="F26" i="161"/>
  <c r="H31" i="196"/>
  <c r="H30" i="196"/>
  <c r="H29" i="196"/>
  <c r="H28" i="196"/>
  <c r="F32" i="196"/>
  <c r="H27" i="196"/>
  <c r="D32" i="196"/>
  <c r="F23" i="196"/>
  <c r="E30" i="18" s="1"/>
  <c r="D23" i="196"/>
  <c r="D30" i="18" s="1"/>
  <c r="G10" i="196"/>
  <c r="G11" i="196" s="1"/>
  <c r="G12" i="196" s="1"/>
  <c r="G13" i="196" s="1"/>
  <c r="G14" i="196" s="1"/>
  <c r="G15" i="196" s="1"/>
  <c r="G16" i="196" s="1"/>
  <c r="G17" i="196" s="1"/>
  <c r="G18" i="196" s="1"/>
  <c r="G19" i="196" s="1"/>
  <c r="G20" i="196" s="1"/>
  <c r="G21" i="196" s="1"/>
  <c r="E9" i="196"/>
  <c r="E10" i="196" s="1"/>
  <c r="E11" i="196" s="1"/>
  <c r="E12" i="196" s="1"/>
  <c r="E13" i="196" s="1"/>
  <c r="E14" i="196" s="1"/>
  <c r="E15" i="196" s="1"/>
  <c r="E16" i="196" s="1"/>
  <c r="E17" i="196" s="1"/>
  <c r="E18" i="196" s="1"/>
  <c r="E19" i="196" s="1"/>
  <c r="E20" i="196" s="1"/>
  <c r="E21" i="196" s="1"/>
  <c r="A6" i="196"/>
  <c r="D3" i="196"/>
  <c r="A3" i="196"/>
  <c r="A2" i="196"/>
  <c r="A1" i="196"/>
  <c r="H23" i="196" l="1"/>
  <c r="F30" i="18" s="1"/>
  <c r="H9" i="196"/>
  <c r="H10" i="196" s="1"/>
  <c r="H11" i="196" s="1"/>
  <c r="H12" i="196" s="1"/>
  <c r="H13" i="196" s="1"/>
  <c r="H14" i="196" s="1"/>
  <c r="H15" i="196" s="1"/>
  <c r="H16" i="196" s="1"/>
  <c r="H17" i="196" s="1"/>
  <c r="H18" i="196" s="1"/>
  <c r="H19" i="196" s="1"/>
  <c r="H20" i="196" s="1"/>
  <c r="H21" i="196" s="1"/>
  <c r="H26" i="196"/>
  <c r="H32" i="196" s="1"/>
  <c r="D31" i="193" l="1"/>
  <c r="D30" i="193"/>
  <c r="D29" i="193"/>
  <c r="D28" i="193"/>
  <c r="F27" i="193"/>
  <c r="F31" i="193"/>
  <c r="F30" i="193"/>
  <c r="F29" i="193"/>
  <c r="F28" i="193"/>
  <c r="D29" i="175"/>
  <c r="D28" i="175"/>
  <c r="D27" i="182"/>
  <c r="D26" i="182"/>
  <c r="F26" i="182"/>
  <c r="H32" i="193" l="1"/>
  <c r="D27" i="193"/>
  <c r="D26" i="193"/>
  <c r="D33" i="193" l="1"/>
  <c r="F29" i="118"/>
  <c r="F26" i="147" l="1"/>
  <c r="F38" i="77" l="1"/>
  <c r="F37" i="77"/>
  <c r="F36" i="77"/>
  <c r="F23" i="195" l="1"/>
  <c r="E15" i="139" s="1"/>
  <c r="D23" i="195"/>
  <c r="G10" i="195"/>
  <c r="G11" i="195" s="1"/>
  <c r="G12" i="195" s="1"/>
  <c r="G13" i="195" s="1"/>
  <c r="G14" i="195" s="1"/>
  <c r="G15" i="195" s="1"/>
  <c r="G16" i="195" s="1"/>
  <c r="G17" i="195" s="1"/>
  <c r="G18" i="195" s="1"/>
  <c r="G19" i="195" s="1"/>
  <c r="G20" i="195" s="1"/>
  <c r="G21" i="195" s="1"/>
  <c r="E9" i="195"/>
  <c r="E10" i="195" s="1"/>
  <c r="E11" i="195" s="1"/>
  <c r="E12" i="195" s="1"/>
  <c r="E13" i="195" s="1"/>
  <c r="E14" i="195" s="1"/>
  <c r="E15" i="195" s="1"/>
  <c r="E16" i="195" s="1"/>
  <c r="E17" i="195" s="1"/>
  <c r="E18" i="195" s="1"/>
  <c r="E19" i="195" s="1"/>
  <c r="E20" i="195" s="1"/>
  <c r="E21" i="195" s="1"/>
  <c r="A6" i="195"/>
  <c r="D3" i="195"/>
  <c r="A3" i="195"/>
  <c r="A2" i="195"/>
  <c r="A1" i="195"/>
  <c r="H23" i="195" l="1"/>
  <c r="F15" i="139" s="1"/>
  <c r="D15" i="139"/>
  <c r="H9" i="195"/>
  <c r="H10" i="195" s="1"/>
  <c r="H11" i="195" s="1"/>
  <c r="H12" i="195" s="1"/>
  <c r="H13" i="195" s="1"/>
  <c r="H14" i="195" s="1"/>
  <c r="H15" i="195" s="1"/>
  <c r="H16" i="195" s="1"/>
  <c r="H17" i="195" s="1"/>
  <c r="H18" i="195" s="1"/>
  <c r="H19" i="195" s="1"/>
  <c r="H20" i="195" s="1"/>
  <c r="H21" i="195" s="1"/>
  <c r="F23" i="194" l="1"/>
  <c r="E14" i="139" s="1"/>
  <c r="D23" i="194"/>
  <c r="D14" i="139" s="1"/>
  <c r="G10" i="194"/>
  <c r="G11" i="194" s="1"/>
  <c r="G12" i="194" s="1"/>
  <c r="G13" i="194" s="1"/>
  <c r="G14" i="194" s="1"/>
  <c r="G15" i="194" s="1"/>
  <c r="G16" i="194" s="1"/>
  <c r="G17" i="194" s="1"/>
  <c r="G18" i="194" s="1"/>
  <c r="G19" i="194" s="1"/>
  <c r="G20" i="194" s="1"/>
  <c r="G21" i="194" s="1"/>
  <c r="E9" i="194"/>
  <c r="H9" i="194" s="1"/>
  <c r="H10" i="194" s="1"/>
  <c r="H11" i="194" s="1"/>
  <c r="H12" i="194" s="1"/>
  <c r="H13" i="194" s="1"/>
  <c r="H14" i="194" s="1"/>
  <c r="H15" i="194" s="1"/>
  <c r="H16" i="194" s="1"/>
  <c r="H17" i="194" s="1"/>
  <c r="H18" i="194" s="1"/>
  <c r="H19" i="194" s="1"/>
  <c r="H20" i="194" s="1"/>
  <c r="H21" i="194" s="1"/>
  <c r="A6" i="194"/>
  <c r="D3" i="194"/>
  <c r="A3" i="194"/>
  <c r="A2" i="194"/>
  <c r="A1" i="194"/>
  <c r="F29" i="183"/>
  <c r="F27" i="182"/>
  <c r="H23" i="194" l="1"/>
  <c r="F14" i="139" s="1"/>
  <c r="E10" i="194"/>
  <c r="E11" i="194" s="1"/>
  <c r="E12" i="194" s="1"/>
  <c r="E13" i="194" s="1"/>
  <c r="E14" i="194" s="1"/>
  <c r="E15" i="194" s="1"/>
  <c r="E16" i="194" s="1"/>
  <c r="E17" i="194" s="1"/>
  <c r="E18" i="194" s="1"/>
  <c r="E19" i="194" s="1"/>
  <c r="E20" i="194" s="1"/>
  <c r="E21" i="194" s="1"/>
  <c r="D32" i="85"/>
  <c r="H31" i="85"/>
  <c r="E9" i="32"/>
  <c r="F27" i="141" l="1"/>
  <c r="H44" i="64" l="1"/>
  <c r="F30" i="96"/>
  <c r="F29" i="96"/>
  <c r="I12" i="165"/>
  <c r="I14" i="165" s="1"/>
  <c r="I15" i="165" s="1"/>
  <c r="F27" i="185"/>
  <c r="H30" i="193"/>
  <c r="H31" i="193"/>
  <c r="H29" i="193"/>
  <c r="H28" i="193"/>
  <c r="H27" i="193"/>
  <c r="F33" i="193"/>
  <c r="F23" i="193"/>
  <c r="E29" i="18" s="1"/>
  <c r="D23" i="193"/>
  <c r="D29" i="18" s="1"/>
  <c r="G10" i="193"/>
  <c r="G11" i="193" s="1"/>
  <c r="G12" i="193" s="1"/>
  <c r="G13" i="193" s="1"/>
  <c r="G14" i="193" s="1"/>
  <c r="G15" i="193" s="1"/>
  <c r="G16" i="193" s="1"/>
  <c r="G17" i="193" s="1"/>
  <c r="G18" i="193" s="1"/>
  <c r="G19" i="193" s="1"/>
  <c r="G20" i="193" s="1"/>
  <c r="G21" i="193" s="1"/>
  <c r="E9" i="193"/>
  <c r="E10" i="193" s="1"/>
  <c r="E11" i="193" s="1"/>
  <c r="E12" i="193" s="1"/>
  <c r="E13" i="193" s="1"/>
  <c r="E14" i="193" s="1"/>
  <c r="E15" i="193" s="1"/>
  <c r="E16" i="193" s="1"/>
  <c r="E17" i="193" s="1"/>
  <c r="E18" i="193" s="1"/>
  <c r="E19" i="193" s="1"/>
  <c r="E20" i="193" s="1"/>
  <c r="E21" i="193" s="1"/>
  <c r="A6" i="193"/>
  <c r="D3" i="193"/>
  <c r="A3" i="193"/>
  <c r="A2" i="193"/>
  <c r="A1" i="193"/>
  <c r="H36" i="56"/>
  <c r="D37" i="56"/>
  <c r="F34" i="56"/>
  <c r="E9" i="152"/>
  <c r="D28" i="155"/>
  <c r="D27" i="155"/>
  <c r="D26" i="155"/>
  <c r="F26" i="155"/>
  <c r="D28" i="156"/>
  <c r="D27" i="156"/>
  <c r="D26" i="156"/>
  <c r="F26" i="156"/>
  <c r="H23" i="193" l="1"/>
  <c r="F29" i="18" s="1"/>
  <c r="H26" i="193"/>
  <c r="H33" i="193" s="1"/>
  <c r="H9" i="193"/>
  <c r="H10" i="193" s="1"/>
  <c r="H11" i="193" s="1"/>
  <c r="H12" i="193" s="1"/>
  <c r="H13" i="193" s="1"/>
  <c r="H14" i="193" s="1"/>
  <c r="H15" i="193" s="1"/>
  <c r="H16" i="193" s="1"/>
  <c r="H17" i="193" s="1"/>
  <c r="H18" i="193" s="1"/>
  <c r="H19" i="193" s="1"/>
  <c r="H20" i="193" s="1"/>
  <c r="H21" i="193" s="1"/>
  <c r="F39" i="77"/>
  <c r="F33" i="77"/>
  <c r="F23" i="192" l="1"/>
  <c r="D23" i="192"/>
  <c r="G10" i="192"/>
  <c r="G11" i="192" s="1"/>
  <c r="G12" i="192" s="1"/>
  <c r="G13" i="192" s="1"/>
  <c r="G14" i="192" s="1"/>
  <c r="G15" i="192" s="1"/>
  <c r="G16" i="192" s="1"/>
  <c r="G17" i="192" s="1"/>
  <c r="G18" i="192" s="1"/>
  <c r="G19" i="192" s="1"/>
  <c r="G20" i="192" s="1"/>
  <c r="G21" i="192" s="1"/>
  <c r="E9" i="192"/>
  <c r="H9" i="192" s="1"/>
  <c r="H10" i="192" s="1"/>
  <c r="H11" i="192" s="1"/>
  <c r="H12" i="192" s="1"/>
  <c r="H13" i="192" s="1"/>
  <c r="H14" i="192" s="1"/>
  <c r="H15" i="192" s="1"/>
  <c r="H16" i="192" s="1"/>
  <c r="H17" i="192" s="1"/>
  <c r="H18" i="192" s="1"/>
  <c r="H19" i="192" s="1"/>
  <c r="H20" i="192" s="1"/>
  <c r="H21" i="192" s="1"/>
  <c r="A6" i="192"/>
  <c r="D3" i="192"/>
  <c r="A3" i="192"/>
  <c r="A2" i="192"/>
  <c r="A1" i="192"/>
  <c r="F23" i="190"/>
  <c r="D23" i="190"/>
  <c r="G10" i="190"/>
  <c r="G11" i="190" s="1"/>
  <c r="G12" i="190" s="1"/>
  <c r="G13" i="190" s="1"/>
  <c r="G14" i="190" s="1"/>
  <c r="G15" i="190" s="1"/>
  <c r="G16" i="190" s="1"/>
  <c r="G17" i="190" s="1"/>
  <c r="G18" i="190" s="1"/>
  <c r="G19" i="190" s="1"/>
  <c r="G20" i="190" s="1"/>
  <c r="G21" i="190" s="1"/>
  <c r="E9" i="190"/>
  <c r="E10" i="190" s="1"/>
  <c r="E11" i="190" s="1"/>
  <c r="E12" i="190" s="1"/>
  <c r="E13" i="190" s="1"/>
  <c r="E14" i="190" s="1"/>
  <c r="E15" i="190" s="1"/>
  <c r="E16" i="190" s="1"/>
  <c r="E17" i="190" s="1"/>
  <c r="E18" i="190" s="1"/>
  <c r="E19" i="190" s="1"/>
  <c r="E20" i="190" s="1"/>
  <c r="E21" i="190" s="1"/>
  <c r="A6" i="190"/>
  <c r="D3" i="190"/>
  <c r="A3" i="190"/>
  <c r="A2" i="190"/>
  <c r="A1" i="190"/>
  <c r="F27" i="175"/>
  <c r="D30" i="164"/>
  <c r="D27" i="164"/>
  <c r="F30" i="164"/>
  <c r="F29" i="164"/>
  <c r="F28" i="164"/>
  <c r="F27" i="164"/>
  <c r="F26" i="164"/>
  <c r="E9" i="131"/>
  <c r="E9" i="83"/>
  <c r="F32" i="186"/>
  <c r="H27" i="186"/>
  <c r="H28" i="186"/>
  <c r="H29" i="186"/>
  <c r="H30" i="186"/>
  <c r="H31" i="186"/>
  <c r="H26" i="186"/>
  <c r="D32" i="186"/>
  <c r="F22" i="189"/>
  <c r="F26" i="184" s="1"/>
  <c r="D22" i="189"/>
  <c r="D26" i="184" s="1"/>
  <c r="G10" i="189"/>
  <c r="G11" i="189" s="1"/>
  <c r="G12" i="189" s="1"/>
  <c r="G13" i="189" s="1"/>
  <c r="G14" i="189" s="1"/>
  <c r="G15" i="189" s="1"/>
  <c r="G16" i="189" s="1"/>
  <c r="G17" i="189" s="1"/>
  <c r="G18" i="189" s="1"/>
  <c r="G19" i="189" s="1"/>
  <c r="G20" i="189" s="1"/>
  <c r="E9" i="189"/>
  <c r="E10" i="189" s="1"/>
  <c r="E11" i="189" s="1"/>
  <c r="E12" i="189" s="1"/>
  <c r="E13" i="189" s="1"/>
  <c r="E14" i="189" s="1"/>
  <c r="E15" i="189" s="1"/>
  <c r="E16" i="189" s="1"/>
  <c r="E17" i="189" s="1"/>
  <c r="E18" i="189" s="1"/>
  <c r="E19" i="189" s="1"/>
  <c r="E20" i="189" s="1"/>
  <c r="A6" i="189"/>
  <c r="D3" i="189"/>
  <c r="A3" i="189"/>
  <c r="A2" i="189"/>
  <c r="A1" i="189"/>
  <c r="F23" i="188"/>
  <c r="E14" i="128" s="1"/>
  <c r="D23" i="188"/>
  <c r="D14" i="128" s="1"/>
  <c r="G10" i="188"/>
  <c r="G11" i="188" s="1"/>
  <c r="G12" i="188" s="1"/>
  <c r="G13" i="188" s="1"/>
  <c r="G14" i="188" s="1"/>
  <c r="G15" i="188" s="1"/>
  <c r="G16" i="188" s="1"/>
  <c r="G17" i="188" s="1"/>
  <c r="G18" i="188" s="1"/>
  <c r="G19" i="188" s="1"/>
  <c r="G20" i="188" s="1"/>
  <c r="G21" i="188" s="1"/>
  <c r="E9" i="188"/>
  <c r="H9" i="188" s="1"/>
  <c r="H10" i="188" s="1"/>
  <c r="H11" i="188" s="1"/>
  <c r="H12" i="188" s="1"/>
  <c r="H13" i="188" s="1"/>
  <c r="H14" i="188" s="1"/>
  <c r="H15" i="188" s="1"/>
  <c r="H16" i="188" s="1"/>
  <c r="H17" i="188" s="1"/>
  <c r="H18" i="188" s="1"/>
  <c r="H19" i="188" s="1"/>
  <c r="H20" i="188" s="1"/>
  <c r="H21" i="188" s="1"/>
  <c r="A6" i="188"/>
  <c r="D3" i="188"/>
  <c r="A3" i="188"/>
  <c r="A2" i="188"/>
  <c r="A1" i="188"/>
  <c r="D28" i="187"/>
  <c r="H27" i="187"/>
  <c r="F28" i="187"/>
  <c r="F23" i="187"/>
  <c r="E16" i="128" s="1"/>
  <c r="D23" i="187"/>
  <c r="D16" i="128" s="1"/>
  <c r="G10" i="187"/>
  <c r="G11" i="187" s="1"/>
  <c r="G12" i="187" s="1"/>
  <c r="G13" i="187" s="1"/>
  <c r="G14" i="187" s="1"/>
  <c r="G15" i="187" s="1"/>
  <c r="G16" i="187" s="1"/>
  <c r="G17" i="187" s="1"/>
  <c r="G18" i="187" s="1"/>
  <c r="G19" i="187" s="1"/>
  <c r="G20" i="187" s="1"/>
  <c r="G21" i="187" s="1"/>
  <c r="E9" i="187"/>
  <c r="H9" i="187" s="1"/>
  <c r="H10" i="187" s="1"/>
  <c r="H11" i="187" s="1"/>
  <c r="H12" i="187" s="1"/>
  <c r="H13" i="187" s="1"/>
  <c r="H14" i="187" s="1"/>
  <c r="H15" i="187" s="1"/>
  <c r="H16" i="187" s="1"/>
  <c r="H17" i="187" s="1"/>
  <c r="H18" i="187" s="1"/>
  <c r="H19" i="187" s="1"/>
  <c r="H20" i="187" s="1"/>
  <c r="H21" i="187" s="1"/>
  <c r="A6" i="187"/>
  <c r="D3" i="187"/>
  <c r="A3" i="187"/>
  <c r="A2" i="187"/>
  <c r="A1" i="187"/>
  <c r="F23" i="186"/>
  <c r="E19" i="80" s="1"/>
  <c r="D23" i="186"/>
  <c r="D19" i="80" s="1"/>
  <c r="G10" i="186"/>
  <c r="G11" i="186" s="1"/>
  <c r="G12" i="186" s="1"/>
  <c r="G13" i="186" s="1"/>
  <c r="G14" i="186" s="1"/>
  <c r="G15" i="186" s="1"/>
  <c r="G16" i="186" s="1"/>
  <c r="G17" i="186" s="1"/>
  <c r="G18" i="186" s="1"/>
  <c r="G19" i="186" s="1"/>
  <c r="G20" i="186" s="1"/>
  <c r="G21" i="186" s="1"/>
  <c r="E9" i="186"/>
  <c r="H9" i="186" s="1"/>
  <c r="H10" i="186" s="1"/>
  <c r="H11" i="186" s="1"/>
  <c r="H12" i="186" s="1"/>
  <c r="H13" i="186" s="1"/>
  <c r="H14" i="186" s="1"/>
  <c r="H15" i="186" s="1"/>
  <c r="H16" i="186" s="1"/>
  <c r="H17" i="186" s="1"/>
  <c r="H18" i="186" s="1"/>
  <c r="H19" i="186" s="1"/>
  <c r="H20" i="186" s="1"/>
  <c r="H21" i="186" s="1"/>
  <c r="A6" i="186"/>
  <c r="D3" i="186"/>
  <c r="A3" i="186"/>
  <c r="A2" i="186"/>
  <c r="A1" i="186"/>
  <c r="F26" i="141"/>
  <c r="H27" i="88"/>
  <c r="H26" i="88"/>
  <c r="F28" i="88"/>
  <c r="D28" i="88"/>
  <c r="F42" i="64"/>
  <c r="I12" i="146"/>
  <c r="I13" i="146" s="1"/>
  <c r="I15" i="146" s="1"/>
  <c r="I16" i="146" s="1"/>
  <c r="H27" i="185"/>
  <c r="D28" i="185"/>
  <c r="F23" i="185"/>
  <c r="E15" i="91" s="1"/>
  <c r="D23" i="185"/>
  <c r="D15" i="91" s="1"/>
  <c r="G10" i="185"/>
  <c r="G11" i="185" s="1"/>
  <c r="G12" i="185" s="1"/>
  <c r="G13" i="185" s="1"/>
  <c r="G14" i="185" s="1"/>
  <c r="G15" i="185" s="1"/>
  <c r="G16" i="185" s="1"/>
  <c r="G17" i="185" s="1"/>
  <c r="G18" i="185" s="1"/>
  <c r="G19" i="185" s="1"/>
  <c r="G20" i="185" s="1"/>
  <c r="G21" i="185" s="1"/>
  <c r="E9" i="185"/>
  <c r="H9" i="185" s="1"/>
  <c r="H10" i="185" s="1"/>
  <c r="H11" i="185" s="1"/>
  <c r="H12" i="185" s="1"/>
  <c r="H13" i="185" s="1"/>
  <c r="H14" i="185" s="1"/>
  <c r="H15" i="185" s="1"/>
  <c r="H16" i="185" s="1"/>
  <c r="H17" i="185" s="1"/>
  <c r="H18" i="185" s="1"/>
  <c r="H19" i="185" s="1"/>
  <c r="H20" i="185" s="1"/>
  <c r="H21" i="185" s="1"/>
  <c r="A6" i="185"/>
  <c r="D3" i="185"/>
  <c r="A3" i="185"/>
  <c r="A2" i="185"/>
  <c r="A1" i="185"/>
  <c r="D26" i="93"/>
  <c r="D27" i="93"/>
  <c r="E10" i="188" l="1"/>
  <c r="E11" i="188" s="1"/>
  <c r="E12" i="188" s="1"/>
  <c r="E13" i="188" s="1"/>
  <c r="E14" i="188" s="1"/>
  <c r="E15" i="188" s="1"/>
  <c r="E16" i="188" s="1"/>
  <c r="E17" i="188" s="1"/>
  <c r="E18" i="188" s="1"/>
  <c r="E19" i="188" s="1"/>
  <c r="E20" i="188" s="1"/>
  <c r="E21" i="188" s="1"/>
  <c r="H28" i="88"/>
  <c r="D26" i="192"/>
  <c r="D27" i="192" s="1"/>
  <c r="D27" i="190"/>
  <c r="D20" i="80"/>
  <c r="D26" i="181"/>
  <c r="H26" i="184"/>
  <c r="D15" i="128"/>
  <c r="E15" i="128"/>
  <c r="H23" i="190"/>
  <c r="F17" i="128" s="1"/>
  <c r="E20" i="80"/>
  <c r="F26" i="190"/>
  <c r="H26" i="190" s="1"/>
  <c r="F26" i="181"/>
  <c r="F26" i="192"/>
  <c r="E17" i="128"/>
  <c r="H23" i="192"/>
  <c r="F20" i="80" s="1"/>
  <c r="H32" i="186"/>
  <c r="E10" i="192"/>
  <c r="E11" i="192" s="1"/>
  <c r="E12" i="192" s="1"/>
  <c r="E13" i="192" s="1"/>
  <c r="E14" i="192" s="1"/>
  <c r="E15" i="192" s="1"/>
  <c r="E16" i="192" s="1"/>
  <c r="E17" i="192" s="1"/>
  <c r="E18" i="192" s="1"/>
  <c r="E19" i="192" s="1"/>
  <c r="E20" i="192" s="1"/>
  <c r="E21" i="192" s="1"/>
  <c r="D17" i="128"/>
  <c r="H9" i="190"/>
  <c r="H10" i="190" s="1"/>
  <c r="H11" i="190" s="1"/>
  <c r="H12" i="190" s="1"/>
  <c r="H13" i="190" s="1"/>
  <c r="H14" i="190" s="1"/>
  <c r="H15" i="190" s="1"/>
  <c r="H16" i="190" s="1"/>
  <c r="H17" i="190" s="1"/>
  <c r="H18" i="190" s="1"/>
  <c r="H19" i="190" s="1"/>
  <c r="H20" i="190" s="1"/>
  <c r="H21" i="190" s="1"/>
  <c r="F28" i="185"/>
  <c r="H23" i="185"/>
  <c r="F15" i="91" s="1"/>
  <c r="H9" i="189"/>
  <c r="H10" i="189" s="1"/>
  <c r="H11" i="189" s="1"/>
  <c r="H12" i="189" s="1"/>
  <c r="H13" i="189" s="1"/>
  <c r="H14" i="189" s="1"/>
  <c r="H15" i="189" s="1"/>
  <c r="H16" i="189" s="1"/>
  <c r="H17" i="189" s="1"/>
  <c r="H18" i="189" s="1"/>
  <c r="H19" i="189" s="1"/>
  <c r="H20" i="189" s="1"/>
  <c r="H22" i="189"/>
  <c r="F15" i="128" s="1"/>
  <c r="H23" i="188"/>
  <c r="F14" i="128" s="1"/>
  <c r="H23" i="187"/>
  <c r="F16" i="128" s="1"/>
  <c r="E10" i="187"/>
  <c r="E11" i="187" s="1"/>
  <c r="E12" i="187" s="1"/>
  <c r="E13" i="187" s="1"/>
  <c r="E14" i="187" s="1"/>
  <c r="E15" i="187" s="1"/>
  <c r="E16" i="187" s="1"/>
  <c r="E17" i="187" s="1"/>
  <c r="E18" i="187" s="1"/>
  <c r="E19" i="187" s="1"/>
  <c r="E20" i="187" s="1"/>
  <c r="E21" i="187" s="1"/>
  <c r="H26" i="187"/>
  <c r="H28" i="187" s="1"/>
  <c r="H23" i="186"/>
  <c r="F19" i="80" s="1"/>
  <c r="E10" i="186"/>
  <c r="E11" i="186" s="1"/>
  <c r="E12" i="186" s="1"/>
  <c r="E13" i="186" s="1"/>
  <c r="E14" i="186" s="1"/>
  <c r="E15" i="186" s="1"/>
  <c r="E16" i="186" s="1"/>
  <c r="E17" i="186" s="1"/>
  <c r="E18" i="186" s="1"/>
  <c r="E19" i="186" s="1"/>
  <c r="E20" i="186" s="1"/>
  <c r="E21" i="186" s="1"/>
  <c r="E10" i="185"/>
  <c r="E11" i="185" s="1"/>
  <c r="E12" i="185" s="1"/>
  <c r="E13" i="185" s="1"/>
  <c r="E14" i="185" s="1"/>
  <c r="E15" i="185" s="1"/>
  <c r="E16" i="185" s="1"/>
  <c r="E17" i="185" s="1"/>
  <c r="E18" i="185" s="1"/>
  <c r="E19" i="185" s="1"/>
  <c r="E20" i="185" s="1"/>
  <c r="E21" i="185" s="1"/>
  <c r="H26" i="185"/>
  <c r="H28" i="185" s="1"/>
  <c r="F53" i="138"/>
  <c r="F45" i="138"/>
  <c r="F37" i="138"/>
  <c r="F29" i="138"/>
  <c r="F23" i="184"/>
  <c r="E18" i="80" s="1"/>
  <c r="D23" i="184"/>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35" i="56"/>
  <c r="F37" i="56" s="1"/>
  <c r="H26" i="181" l="1"/>
  <c r="H27" i="190"/>
  <c r="F27" i="190"/>
  <c r="F25" i="189"/>
  <c r="F26" i="189" s="1"/>
  <c r="F27" i="184"/>
  <c r="F27" i="192"/>
  <c r="H26" i="192"/>
  <c r="H27" i="192" s="1"/>
  <c r="H23" i="184"/>
  <c r="D25" i="189"/>
  <c r="D27" i="184"/>
  <c r="D18" i="80"/>
  <c r="H9" i="184"/>
  <c r="H10" i="184" s="1"/>
  <c r="H11" i="184" s="1"/>
  <c r="H12" i="184" s="1"/>
  <c r="H13" i="184" s="1"/>
  <c r="H14" i="184" s="1"/>
  <c r="H15" i="184" s="1"/>
  <c r="H16" i="184" s="1"/>
  <c r="H17" i="184" s="1"/>
  <c r="H18" i="184" s="1"/>
  <c r="H19" i="184" s="1"/>
  <c r="H20" i="184" s="1"/>
  <c r="H21" i="184" s="1"/>
  <c r="D26" i="189" l="1"/>
  <c r="H25" i="189"/>
  <c r="H26" i="189" s="1"/>
  <c r="F18" i="80"/>
  <c r="H27" i="184"/>
  <c r="F27" i="156" l="1"/>
  <c r="I12" i="166"/>
  <c r="I14" i="166" s="1"/>
  <c r="I15" i="166" s="1"/>
  <c r="I16" i="166" s="1"/>
  <c r="I17" i="166" s="1"/>
  <c r="I18" i="166" s="1"/>
  <c r="H27" i="183"/>
  <c r="H28" i="183"/>
  <c r="H26" i="183"/>
  <c r="D29" i="183"/>
  <c r="F23" i="183"/>
  <c r="E18" i="29" s="1"/>
  <c r="D23" i="183"/>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39" i="77"/>
  <c r="D40" i="77"/>
  <c r="H29" i="183" l="1"/>
  <c r="H23" i="183"/>
  <c r="F18" i="29" s="1"/>
  <c r="D18" i="29"/>
  <c r="H9" i="183"/>
  <c r="H10" i="183" s="1"/>
  <c r="H11" i="183" s="1"/>
  <c r="H12" i="183" s="1"/>
  <c r="H13" i="183" s="1"/>
  <c r="H14" i="183" s="1"/>
  <c r="H15" i="183" s="1"/>
  <c r="H16" i="183" s="1"/>
  <c r="H17" i="183" s="1"/>
  <c r="H18" i="183" s="1"/>
  <c r="H19" i="183" s="1"/>
  <c r="H20" i="183" s="1"/>
  <c r="H21" i="183" s="1"/>
  <c r="G20" i="37" l="1"/>
  <c r="F28" i="182" l="1"/>
  <c r="D28" i="182"/>
  <c r="H27" i="182"/>
  <c r="H26" i="182"/>
  <c r="F23" i="182"/>
  <c r="E13" i="139" s="1"/>
  <c r="D23" i="182"/>
  <c r="D13" i="139" s="1"/>
  <c r="G10" i="182"/>
  <c r="G11" i="182" s="1"/>
  <c r="G12" i="182" s="1"/>
  <c r="G13" i="182" s="1"/>
  <c r="G14" i="182" s="1"/>
  <c r="G15" i="182" s="1"/>
  <c r="G16" i="182" s="1"/>
  <c r="G17" i="182" s="1"/>
  <c r="G18" i="182" s="1"/>
  <c r="G19" i="182" s="1"/>
  <c r="G20" i="182" s="1"/>
  <c r="G21" i="182" s="1"/>
  <c r="E9" i="182"/>
  <c r="E10" i="182" s="1"/>
  <c r="E11" i="182" s="1"/>
  <c r="E12" i="182" s="1"/>
  <c r="E13" i="182" s="1"/>
  <c r="E14" i="182" s="1"/>
  <c r="E15" i="182" s="1"/>
  <c r="E16" i="182" s="1"/>
  <c r="E17" i="182" s="1"/>
  <c r="E18" i="182" s="1"/>
  <c r="E19" i="182" s="1"/>
  <c r="E20" i="182" s="1"/>
  <c r="E21" i="182" s="1"/>
  <c r="A6" i="182"/>
  <c r="D3" i="182"/>
  <c r="A3" i="182"/>
  <c r="A2" i="182"/>
  <c r="A1" i="182"/>
  <c r="H28" i="182" l="1"/>
  <c r="H23" i="182"/>
  <c r="F13" i="139" s="1"/>
  <c r="H9" i="182"/>
  <c r="H10" i="182" s="1"/>
  <c r="H11" i="182" s="1"/>
  <c r="H12" i="182" s="1"/>
  <c r="H13" i="182" s="1"/>
  <c r="H14" i="182" s="1"/>
  <c r="H15" i="182" s="1"/>
  <c r="H16" i="182" s="1"/>
  <c r="H17" i="182" s="1"/>
  <c r="H18" i="182" s="1"/>
  <c r="H19" i="182" s="1"/>
  <c r="H20" i="182" s="1"/>
  <c r="H21" i="182" s="1"/>
  <c r="F23" i="181" l="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F23" i="180"/>
  <c r="E16" i="80" s="1"/>
  <c r="D23" i="180"/>
  <c r="D16" i="80" s="1"/>
  <c r="G10" i="180"/>
  <c r="G11" i="180" s="1"/>
  <c r="G12" i="180" s="1"/>
  <c r="G13" i="180" s="1"/>
  <c r="G14" i="180" s="1"/>
  <c r="G15" i="180" s="1"/>
  <c r="G16" i="180" s="1"/>
  <c r="G17" i="180" s="1"/>
  <c r="G18" i="180" s="1"/>
  <c r="G19" i="180" s="1"/>
  <c r="G20" i="180" s="1"/>
  <c r="G21" i="180" s="1"/>
  <c r="E9" i="180"/>
  <c r="H9" i="180" s="1"/>
  <c r="H10" i="180" s="1"/>
  <c r="H11" i="180" s="1"/>
  <c r="H12" i="180" s="1"/>
  <c r="H13" i="180" s="1"/>
  <c r="H14" i="180" s="1"/>
  <c r="H15" i="180" s="1"/>
  <c r="H16" i="180" s="1"/>
  <c r="H17" i="180" s="1"/>
  <c r="H18" i="180" s="1"/>
  <c r="H19" i="180" s="1"/>
  <c r="H20" i="180" s="1"/>
  <c r="H21" i="180" s="1"/>
  <c r="A6" i="180"/>
  <c r="D3" i="180"/>
  <c r="A3" i="180"/>
  <c r="A2" i="180"/>
  <c r="A1" i="180"/>
  <c r="E17" i="80" l="1"/>
  <c r="F26" i="188"/>
  <c r="F27" i="188" s="1"/>
  <c r="F27" i="181"/>
  <c r="H23" i="181"/>
  <c r="D27" i="181"/>
  <c r="D26" i="188"/>
  <c r="D17" i="80"/>
  <c r="H9" i="181"/>
  <c r="H10" i="181" s="1"/>
  <c r="H11" i="181" s="1"/>
  <c r="H12" i="181" s="1"/>
  <c r="H13" i="181" s="1"/>
  <c r="H14" i="181" s="1"/>
  <c r="H15" i="181" s="1"/>
  <c r="H16" i="181" s="1"/>
  <c r="H17" i="181" s="1"/>
  <c r="H18" i="181" s="1"/>
  <c r="H19" i="181" s="1"/>
  <c r="H20" i="181" s="1"/>
  <c r="H21" i="181" s="1"/>
  <c r="E10" i="180"/>
  <c r="E11" i="180" s="1"/>
  <c r="E12" i="180" s="1"/>
  <c r="E13" i="180" s="1"/>
  <c r="E14" i="180" s="1"/>
  <c r="E15" i="180" s="1"/>
  <c r="E16" i="180" s="1"/>
  <c r="E17" i="180" s="1"/>
  <c r="E18" i="180" s="1"/>
  <c r="E19" i="180" s="1"/>
  <c r="E20" i="180" s="1"/>
  <c r="E21" i="180" s="1"/>
  <c r="H23" i="180"/>
  <c r="F16" i="80" s="1"/>
  <c r="D27" i="188" l="1"/>
  <c r="H26" i="188"/>
  <c r="H27" i="188" s="1"/>
  <c r="F17" i="80"/>
  <c r="H27" i="181"/>
  <c r="E9" i="172"/>
  <c r="F35" i="77" l="1"/>
  <c r="G26" i="32" l="1"/>
  <c r="E9" i="151" l="1"/>
  <c r="H9" i="151" s="1"/>
  <c r="H43" i="64" l="1"/>
  <c r="D28" i="179"/>
  <c r="H27" i="179"/>
  <c r="H26" i="179"/>
  <c r="F23" i="179"/>
  <c r="E28" i="18" s="1"/>
  <c r="D23" i="179"/>
  <c r="G10" i="179"/>
  <c r="G11" i="179" s="1"/>
  <c r="G12" i="179" s="1"/>
  <c r="G13" i="179" s="1"/>
  <c r="G14" i="179" s="1"/>
  <c r="G15" i="179" s="1"/>
  <c r="G16" i="179" s="1"/>
  <c r="G17" i="179" s="1"/>
  <c r="G18" i="179" s="1"/>
  <c r="G19" i="179" s="1"/>
  <c r="G20" i="179" s="1"/>
  <c r="G21" i="179" s="1"/>
  <c r="E9" i="179"/>
  <c r="H9" i="179" s="1"/>
  <c r="H10" i="179" s="1"/>
  <c r="H11" i="179" s="1"/>
  <c r="H12" i="179" s="1"/>
  <c r="H13" i="179" s="1"/>
  <c r="H14" i="179" s="1"/>
  <c r="H15" i="179" s="1"/>
  <c r="H16" i="179" s="1"/>
  <c r="H17" i="179" s="1"/>
  <c r="H18" i="179" s="1"/>
  <c r="H19" i="179" s="1"/>
  <c r="H20" i="179" s="1"/>
  <c r="H21" i="179" s="1"/>
  <c r="A6" i="179"/>
  <c r="D3" i="179"/>
  <c r="A3" i="179"/>
  <c r="A2" i="179"/>
  <c r="A1" i="179"/>
  <c r="H23" i="179" l="1"/>
  <c r="F28" i="18" s="1"/>
  <c r="D28" i="18"/>
  <c r="H28" i="179"/>
  <c r="E10" i="179"/>
  <c r="E11" i="179" s="1"/>
  <c r="E12" i="179" s="1"/>
  <c r="E13" i="179" s="1"/>
  <c r="E14" i="179" s="1"/>
  <c r="E15" i="179" s="1"/>
  <c r="E16" i="179" s="1"/>
  <c r="E17" i="179" s="1"/>
  <c r="E18" i="179" s="1"/>
  <c r="E19" i="179" s="1"/>
  <c r="E20" i="179" s="1"/>
  <c r="E21" i="179" s="1"/>
  <c r="F28" i="179"/>
  <c r="E27" i="18"/>
  <c r="H29" i="178"/>
  <c r="H28" i="178"/>
  <c r="H27" i="178"/>
  <c r="F23" i="178"/>
  <c r="D23" i="178"/>
  <c r="G10" i="178"/>
  <c r="G11" i="178" s="1"/>
  <c r="G12" i="178" s="1"/>
  <c r="G13" i="178" s="1"/>
  <c r="G14" i="178" s="1"/>
  <c r="G15" i="178" s="1"/>
  <c r="G16" i="178" s="1"/>
  <c r="G17" i="178" s="1"/>
  <c r="G18" i="178" s="1"/>
  <c r="G19" i="178" s="1"/>
  <c r="G20" i="178" s="1"/>
  <c r="G21" i="178" s="1"/>
  <c r="E9" i="178"/>
  <c r="H9" i="178" s="1"/>
  <c r="H10" i="178" s="1"/>
  <c r="H11" i="178" s="1"/>
  <c r="H12" i="178" s="1"/>
  <c r="H13" i="178" s="1"/>
  <c r="H14" i="178" s="1"/>
  <c r="H15" i="178" s="1"/>
  <c r="H16" i="178" s="1"/>
  <c r="H17" i="178" s="1"/>
  <c r="H18" i="178" s="1"/>
  <c r="H19" i="178" s="1"/>
  <c r="H20" i="178" s="1"/>
  <c r="H21" i="178" s="1"/>
  <c r="A6" i="178"/>
  <c r="D3" i="178"/>
  <c r="A3" i="178"/>
  <c r="A2" i="178"/>
  <c r="A1" i="178"/>
  <c r="H23" i="178" l="1"/>
  <c r="F27" i="18" s="1"/>
  <c r="D27" i="18"/>
  <c r="H26" i="178"/>
  <c r="H32" i="178" s="1"/>
  <c r="E10" i="178"/>
  <c r="E11" i="178" s="1"/>
  <c r="E12" i="178" s="1"/>
  <c r="E13" i="178" s="1"/>
  <c r="E14" i="178" s="1"/>
  <c r="E15" i="178" s="1"/>
  <c r="E16" i="178" s="1"/>
  <c r="E17" i="178" s="1"/>
  <c r="E18" i="178" s="1"/>
  <c r="E19" i="178" s="1"/>
  <c r="E20" i="178" s="1"/>
  <c r="E21" i="178" s="1"/>
  <c r="D26" i="171" l="1"/>
  <c r="F27" i="171"/>
  <c r="F26" i="171"/>
  <c r="F23" i="177" l="1"/>
  <c r="E14" i="91" s="1"/>
  <c r="D23" i="177"/>
  <c r="D14" i="91" s="1"/>
  <c r="G10" i="177"/>
  <c r="G11" i="177" s="1"/>
  <c r="G12" i="177" s="1"/>
  <c r="G13" i="177" s="1"/>
  <c r="G14" i="177" s="1"/>
  <c r="G15" i="177" s="1"/>
  <c r="G16" i="177" s="1"/>
  <c r="G17" i="177" s="1"/>
  <c r="G18" i="177" s="1"/>
  <c r="G19" i="177" s="1"/>
  <c r="G20" i="177" s="1"/>
  <c r="G21" i="177" s="1"/>
  <c r="E9" i="177"/>
  <c r="H9" i="177" s="1"/>
  <c r="H10" i="177" s="1"/>
  <c r="H11" i="177" s="1"/>
  <c r="H12" i="177" s="1"/>
  <c r="H13" i="177" s="1"/>
  <c r="H14" i="177" s="1"/>
  <c r="H15" i="177" s="1"/>
  <c r="H16" i="177" s="1"/>
  <c r="H17" i="177" s="1"/>
  <c r="H18" i="177" s="1"/>
  <c r="H19" i="177" s="1"/>
  <c r="H20" i="177" s="1"/>
  <c r="H21" i="177" s="1"/>
  <c r="A6" i="177"/>
  <c r="D3" i="177"/>
  <c r="A3" i="177"/>
  <c r="A2" i="177"/>
  <c r="A1" i="177"/>
  <c r="H35" i="56"/>
  <c r="H23" i="177" l="1"/>
  <c r="F14" i="91" s="1"/>
  <c r="E10" i="177"/>
  <c r="E11" i="177" s="1"/>
  <c r="E12" i="177" s="1"/>
  <c r="E13" i="177" s="1"/>
  <c r="E14" i="177" s="1"/>
  <c r="E15" i="177" s="1"/>
  <c r="E16" i="177" s="1"/>
  <c r="E17" i="177" s="1"/>
  <c r="E18" i="177" s="1"/>
  <c r="E19" i="177" s="1"/>
  <c r="E20" i="177" s="1"/>
  <c r="E21" i="177" s="1"/>
  <c r="F26" i="93" l="1"/>
  <c r="F52" i="138"/>
  <c r="F44" i="138"/>
  <c r="F36" i="138"/>
  <c r="F28" i="138"/>
  <c r="F28" i="130"/>
  <c r="F28" i="156"/>
  <c r="F31" i="175" l="1"/>
  <c r="D31" i="175"/>
  <c r="H30" i="175"/>
  <c r="F27" i="161" l="1"/>
  <c r="H27" i="141" l="1"/>
  <c r="H28" i="141"/>
  <c r="F29" i="141"/>
  <c r="D29" i="141"/>
  <c r="H26" i="141"/>
  <c r="H29" i="141" l="1"/>
  <c r="G22" i="173"/>
  <c r="D30" i="77" l="1"/>
  <c r="F23" i="176"/>
  <c r="E17" i="29" s="1"/>
  <c r="D23" i="176"/>
  <c r="D17" i="29" s="1"/>
  <c r="G10" i="176"/>
  <c r="G11" i="176" s="1"/>
  <c r="G12" i="176" s="1"/>
  <c r="G13" i="176" s="1"/>
  <c r="G14" i="176" s="1"/>
  <c r="G15" i="176" s="1"/>
  <c r="G16" i="176" s="1"/>
  <c r="G17" i="176" s="1"/>
  <c r="G18" i="176" s="1"/>
  <c r="G19" i="176" s="1"/>
  <c r="G20" i="176" s="1"/>
  <c r="G21" i="176" s="1"/>
  <c r="E9" i="176"/>
  <c r="E10" i="176" s="1"/>
  <c r="E11" i="176" s="1"/>
  <c r="E12" i="176" s="1"/>
  <c r="E13" i="176" s="1"/>
  <c r="E14" i="176" s="1"/>
  <c r="E15" i="176" s="1"/>
  <c r="E16" i="176" s="1"/>
  <c r="E17" i="176" s="1"/>
  <c r="E18" i="176" s="1"/>
  <c r="E19" i="176" s="1"/>
  <c r="E20" i="176" s="1"/>
  <c r="E21" i="176" s="1"/>
  <c r="A6" i="176"/>
  <c r="D3" i="176"/>
  <c r="A3" i="176"/>
  <c r="A2" i="176"/>
  <c r="A1" i="176"/>
  <c r="H9" i="176" l="1"/>
  <c r="H10" i="176" s="1"/>
  <c r="H11" i="176" s="1"/>
  <c r="H12" i="176" s="1"/>
  <c r="H13" i="176" s="1"/>
  <c r="H14" i="176" s="1"/>
  <c r="H15" i="176" s="1"/>
  <c r="H16" i="176" s="1"/>
  <c r="H17" i="176" s="1"/>
  <c r="H18" i="176" s="1"/>
  <c r="H19" i="176" s="1"/>
  <c r="H20" i="176" s="1"/>
  <c r="H21" i="176" s="1"/>
  <c r="H23" i="176"/>
  <c r="F17" i="29" s="1"/>
  <c r="D3" i="175" l="1"/>
  <c r="H27" i="175"/>
  <c r="H28" i="175"/>
  <c r="H29" i="175"/>
  <c r="H26" i="175"/>
  <c r="F23" i="175"/>
  <c r="E13" i="159" s="1"/>
  <c r="D23" i="175"/>
  <c r="D13" i="159" s="1"/>
  <c r="G10" i="175"/>
  <c r="G11" i="175" s="1"/>
  <c r="G12" i="175" s="1"/>
  <c r="G13" i="175" s="1"/>
  <c r="G14" i="175" s="1"/>
  <c r="G15" i="175" s="1"/>
  <c r="G16" i="175" s="1"/>
  <c r="G17" i="175" s="1"/>
  <c r="G18" i="175" s="1"/>
  <c r="G19" i="175" s="1"/>
  <c r="G20" i="175" s="1"/>
  <c r="G21" i="175" s="1"/>
  <c r="E9" i="175"/>
  <c r="H9" i="175" s="1"/>
  <c r="H10" i="175" s="1"/>
  <c r="H11" i="175" s="1"/>
  <c r="H12" i="175" s="1"/>
  <c r="H13" i="175" s="1"/>
  <c r="H14" i="175" s="1"/>
  <c r="H15" i="175" s="1"/>
  <c r="H16" i="175" s="1"/>
  <c r="H17" i="175" s="1"/>
  <c r="H18" i="175" s="1"/>
  <c r="H19" i="175" s="1"/>
  <c r="H20" i="175" s="1"/>
  <c r="H21" i="175" s="1"/>
  <c r="A6" i="175"/>
  <c r="A3" i="175"/>
  <c r="A2" i="175"/>
  <c r="A1" i="175"/>
  <c r="H31" i="175" l="1"/>
  <c r="H23" i="175"/>
  <c r="F13" i="159" s="1"/>
  <c r="E10" i="175"/>
  <c r="E11" i="175" s="1"/>
  <c r="E12" i="175" s="1"/>
  <c r="E13" i="175" s="1"/>
  <c r="E14" i="175" s="1"/>
  <c r="E15" i="175" s="1"/>
  <c r="E16" i="175" s="1"/>
  <c r="E17" i="175" s="1"/>
  <c r="E18" i="175" s="1"/>
  <c r="E19" i="175" s="1"/>
  <c r="E20" i="175" s="1"/>
  <c r="E21" i="175" s="1"/>
  <c r="H13" i="81" l="1"/>
  <c r="G13" i="81"/>
  <c r="H30" i="164" l="1"/>
  <c r="H29" i="164"/>
  <c r="F27" i="93" l="1"/>
  <c r="F28" i="93" s="1"/>
  <c r="F27" i="127"/>
  <c r="H79" i="96"/>
  <c r="H78" i="96"/>
  <c r="F83" i="96"/>
  <c r="D82" i="96"/>
  <c r="H82" i="96" s="1"/>
  <c r="D81" i="96"/>
  <c r="H81" i="96" s="1"/>
  <c r="D80" i="96"/>
  <c r="H80" i="96" s="1"/>
  <c r="G19" i="37"/>
  <c r="G18" i="37"/>
  <c r="G13" i="172"/>
  <c r="G12" i="172"/>
  <c r="G13" i="162"/>
  <c r="G12" i="162"/>
  <c r="G16" i="142"/>
  <c r="G17" i="142"/>
  <c r="G23" i="94"/>
  <c r="G22" i="94"/>
  <c r="G31" i="54"/>
  <c r="G30" i="54"/>
  <c r="G25" i="32"/>
  <c r="G11" i="152"/>
  <c r="G10" i="152"/>
  <c r="G17" i="37"/>
  <c r="G16" i="37"/>
  <c r="G23" i="101"/>
  <c r="G22" i="101"/>
  <c r="G35" i="21"/>
  <c r="G34" i="21"/>
  <c r="G17" i="131"/>
  <c r="G16" i="131"/>
  <c r="G23" i="83"/>
  <c r="G22" i="83"/>
  <c r="E9" i="75"/>
  <c r="E30" i="75" s="1"/>
  <c r="D11" i="72" s="1"/>
  <c r="E9" i="26"/>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H29" i="158"/>
  <c r="F33" i="158"/>
  <c r="E9" i="62"/>
  <c r="E23" i="62" s="1"/>
  <c r="D11" i="59" s="1"/>
  <c r="D30" i="157"/>
  <c r="D29" i="157"/>
  <c r="D28" i="157"/>
  <c r="D27" i="157"/>
  <c r="D26" i="157"/>
  <c r="F41" i="64"/>
  <c r="H41" i="64" s="1"/>
  <c r="F27" i="147"/>
  <c r="H27" i="147" s="1"/>
  <c r="F31" i="130"/>
  <c r="F29" i="156"/>
  <c r="F28" i="161"/>
  <c r="F31" i="157"/>
  <c r="H31" i="157" s="1"/>
  <c r="F30" i="157"/>
  <c r="F29" i="157"/>
  <c r="F28" i="157"/>
  <c r="F27" i="157"/>
  <c r="F26" i="157"/>
  <c r="F26" i="121"/>
  <c r="F27" i="121"/>
  <c r="D26" i="121"/>
  <c r="D27" i="121"/>
  <c r="G11" i="172"/>
  <c r="G10" i="172"/>
  <c r="G11" i="162"/>
  <c r="G10" i="162"/>
  <c r="G15" i="142"/>
  <c r="G14" i="142"/>
  <c r="G21" i="94"/>
  <c r="G20" i="94"/>
  <c r="G24" i="32"/>
  <c r="G29" i="54"/>
  <c r="G28" i="54"/>
  <c r="G27" i="75"/>
  <c r="G26" i="75"/>
  <c r="G29" i="26"/>
  <c r="G28" i="26"/>
  <c r="G15" i="37"/>
  <c r="G14" i="37"/>
  <c r="G19" i="62"/>
  <c r="G18" i="62"/>
  <c r="G21" i="101"/>
  <c r="G20" i="101"/>
  <c r="G33" i="21"/>
  <c r="G32" i="21"/>
  <c r="G15" i="131"/>
  <c r="G14" i="131"/>
  <c r="G21" i="83"/>
  <c r="G20" i="83"/>
  <c r="F27" i="155"/>
  <c r="H27" i="155" s="1"/>
  <c r="H26" i="155"/>
  <c r="F51" i="138"/>
  <c r="F55" i="138" s="1"/>
  <c r="F43" i="138"/>
  <c r="H43" i="138" s="1"/>
  <c r="H36" i="138"/>
  <c r="F35" i="138"/>
  <c r="F27" i="138"/>
  <c r="H27" i="138" s="1"/>
  <c r="H36" i="77"/>
  <c r="F26" i="148"/>
  <c r="H26" i="148" s="1"/>
  <c r="H29" i="97"/>
  <c r="F28" i="97"/>
  <c r="H28" i="97" s="1"/>
  <c r="F42" i="71"/>
  <c r="H42" i="71" s="1"/>
  <c r="F26" i="85"/>
  <c r="F32" i="85" s="1"/>
  <c r="H29" i="67"/>
  <c r="F23" i="174"/>
  <c r="D23" i="174"/>
  <c r="G10" i="174"/>
  <c r="G11" i="174" s="1"/>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D30" i="79"/>
  <c r="D29" i="79"/>
  <c r="D28" i="79"/>
  <c r="H28" i="79" s="1"/>
  <c r="D27" i="79"/>
  <c r="H27" i="79" s="1"/>
  <c r="D26" i="79"/>
  <c r="F30" i="79"/>
  <c r="F29" i="79"/>
  <c r="F28" i="79"/>
  <c r="D28" i="161"/>
  <c r="H27" i="161"/>
  <c r="H26" i="161"/>
  <c r="F28" i="171"/>
  <c r="D28" i="171"/>
  <c r="H27" i="171"/>
  <c r="H26" i="171"/>
  <c r="D27" i="68"/>
  <c r="D26" i="68"/>
  <c r="F27" i="68"/>
  <c r="F26" i="68"/>
  <c r="H9" i="173"/>
  <c r="H10" i="173" s="1"/>
  <c r="H11" i="173" s="1"/>
  <c r="H12" i="173" s="1"/>
  <c r="H13" i="173" s="1"/>
  <c r="H14" i="173" s="1"/>
  <c r="H15" i="173" s="1"/>
  <c r="H16" i="173" s="1"/>
  <c r="H17" i="173" s="1"/>
  <c r="H18" i="173" s="1"/>
  <c r="H19" i="173" s="1"/>
  <c r="H20" i="173" s="1"/>
  <c r="A6" i="173"/>
  <c r="E3" i="173"/>
  <c r="A3" i="173"/>
  <c r="A2" i="173"/>
  <c r="A1" i="173"/>
  <c r="E23" i="172"/>
  <c r="D11" i="169" s="1"/>
  <c r="F9" i="172"/>
  <c r="A6" i="172"/>
  <c r="E3" i="172"/>
  <c r="A3" i="172"/>
  <c r="A2" i="172"/>
  <c r="A1" i="172"/>
  <c r="F23" i="171"/>
  <c r="E10" i="169" s="1"/>
  <c r="D23" i="171"/>
  <c r="D10" i="169" s="1"/>
  <c r="G10" i="171"/>
  <c r="G11" i="171" s="1"/>
  <c r="E9" i="171"/>
  <c r="E10" i="171" s="1"/>
  <c r="E11" i="171" s="1"/>
  <c r="E12" i="171" s="1"/>
  <c r="E13" i="171" s="1"/>
  <c r="E14" i="171" s="1"/>
  <c r="E15" i="171" s="1"/>
  <c r="E16" i="171" s="1"/>
  <c r="E17" i="171" s="1"/>
  <c r="E18" i="171" s="1"/>
  <c r="E19" i="171" s="1"/>
  <c r="E20" i="171" s="1"/>
  <c r="E21" i="171" s="1"/>
  <c r="A6" i="171"/>
  <c r="D3" i="171"/>
  <c r="A3" i="171"/>
  <c r="A2" i="171"/>
  <c r="A1" i="171"/>
  <c r="H24" i="170"/>
  <c r="C8" i="169" s="1"/>
  <c r="C15" i="169" s="1"/>
  <c r="G24" i="170"/>
  <c r="C24" i="170"/>
  <c r="A6" i="170"/>
  <c r="D3" i="170"/>
  <c r="A3" i="170"/>
  <c r="A2" i="170"/>
  <c r="A1" i="170"/>
  <c r="F28" i="25"/>
  <c r="F22" i="168"/>
  <c r="D22" i="168"/>
  <c r="G10" i="168"/>
  <c r="G11" i="168" s="1"/>
  <c r="G12" i="168" s="1"/>
  <c r="G13" i="168" s="1"/>
  <c r="G14" i="168" s="1"/>
  <c r="G15" i="168" s="1"/>
  <c r="G16" i="168" s="1"/>
  <c r="G17" i="168" s="1"/>
  <c r="G18" i="168" s="1"/>
  <c r="G19" i="168" s="1"/>
  <c r="G20" i="168" s="1"/>
  <c r="E9" i="168"/>
  <c r="H9" i="168" s="1"/>
  <c r="H10" i="168" s="1"/>
  <c r="H11" i="168" s="1"/>
  <c r="H12" i="168" s="1"/>
  <c r="H13" i="168" s="1"/>
  <c r="H14" i="168" s="1"/>
  <c r="H15" i="168" s="1"/>
  <c r="H16" i="168" s="1"/>
  <c r="H17" i="168" s="1"/>
  <c r="H18" i="168" s="1"/>
  <c r="H19" i="168" s="1"/>
  <c r="H20" i="168" s="1"/>
  <c r="A6" i="168"/>
  <c r="D3" i="168"/>
  <c r="A3" i="168"/>
  <c r="A2" i="168"/>
  <c r="A1" i="168"/>
  <c r="F23" i="167"/>
  <c r="E25" i="18" s="1"/>
  <c r="D23" i="167"/>
  <c r="D25" i="18"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E9" i="116"/>
  <c r="E23" i="116" s="1"/>
  <c r="D11" i="113" s="1"/>
  <c r="D33" i="158"/>
  <c r="H32" i="158"/>
  <c r="I12" i="69"/>
  <c r="F23" i="166"/>
  <c r="E24" i="18" s="1"/>
  <c r="D23" i="166"/>
  <c r="D24" i="18" s="1"/>
  <c r="G10" i="166"/>
  <c r="G11" i="166" s="1"/>
  <c r="G12" i="166" s="1"/>
  <c r="G13" i="166" s="1"/>
  <c r="G14" i="166" s="1"/>
  <c r="G15" i="166" s="1"/>
  <c r="G16" i="166" s="1"/>
  <c r="G17" i="166" s="1"/>
  <c r="G18" i="166" s="1"/>
  <c r="G19" i="166" s="1"/>
  <c r="G20" i="166" s="1"/>
  <c r="G21" i="166" s="1"/>
  <c r="E9" i="166"/>
  <c r="H9" i="166" s="1"/>
  <c r="H10" i="166" s="1"/>
  <c r="H11" i="166" s="1"/>
  <c r="H12" i="166" s="1"/>
  <c r="H13" i="166" s="1"/>
  <c r="H14" i="166" s="1"/>
  <c r="H15" i="166" s="1"/>
  <c r="H16" i="166" s="1"/>
  <c r="H17" i="166" s="1"/>
  <c r="H18" i="166" s="1"/>
  <c r="H19" i="166" s="1"/>
  <c r="H20" i="166" s="1"/>
  <c r="H21" i="166" s="1"/>
  <c r="A6" i="166"/>
  <c r="D3" i="166"/>
  <c r="A3" i="166"/>
  <c r="A2" i="166"/>
  <c r="A1" i="166"/>
  <c r="E9" i="106"/>
  <c r="F9" i="106" s="1"/>
  <c r="I9" i="106" s="1"/>
  <c r="G13" i="142"/>
  <c r="G12" i="142"/>
  <c r="G17" i="116"/>
  <c r="G16" i="116"/>
  <c r="G21" i="106"/>
  <c r="G20" i="106"/>
  <c r="G19" i="94"/>
  <c r="G18" i="94"/>
  <c r="G23" i="32"/>
  <c r="G27" i="54"/>
  <c r="G26" i="54"/>
  <c r="G25" i="75"/>
  <c r="G24" i="75"/>
  <c r="G27" i="26"/>
  <c r="G26" i="26"/>
  <c r="G13" i="37"/>
  <c r="G12" i="37"/>
  <c r="G19" i="101"/>
  <c r="G18" i="101"/>
  <c r="G31" i="21"/>
  <c r="G30" i="21"/>
  <c r="G13" i="131"/>
  <c r="G12" i="131"/>
  <c r="G19" i="83"/>
  <c r="G18" i="83"/>
  <c r="I10" i="120"/>
  <c r="I11" i="120" s="1"/>
  <c r="D30" i="97"/>
  <c r="F23" i="165"/>
  <c r="E23" i="18" s="1"/>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31" i="164"/>
  <c r="D31" i="164"/>
  <c r="H28" i="164"/>
  <c r="H27" i="164"/>
  <c r="H26" i="164"/>
  <c r="F23" i="164"/>
  <c r="E22" i="18"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F34" i="77"/>
  <c r="F40" i="77" s="1"/>
  <c r="G22" i="163"/>
  <c r="D12" i="159" s="1"/>
  <c r="H9" i="163"/>
  <c r="H10" i="163" s="1"/>
  <c r="H11" i="163" s="1"/>
  <c r="H12" i="163" s="1"/>
  <c r="H13" i="163" s="1"/>
  <c r="H14" i="163" s="1"/>
  <c r="H15" i="163" s="1"/>
  <c r="H16" i="163" s="1"/>
  <c r="H17" i="163" s="1"/>
  <c r="H18" i="163" s="1"/>
  <c r="H19" i="163" s="1"/>
  <c r="H20" i="163" s="1"/>
  <c r="A6" i="163"/>
  <c r="E3" i="163"/>
  <c r="A3" i="163"/>
  <c r="A2" i="163"/>
  <c r="A1" i="163"/>
  <c r="E30" i="162"/>
  <c r="D11" i="159" s="1"/>
  <c r="F9" i="162"/>
  <c r="F10" i="162" s="1"/>
  <c r="F11" i="162" s="1"/>
  <c r="F12" i="162" s="1"/>
  <c r="F13" i="162" s="1"/>
  <c r="F14" i="162" s="1"/>
  <c r="F15" i="162" s="1"/>
  <c r="F16" i="162" s="1"/>
  <c r="F17" i="162" s="1"/>
  <c r="F18" i="162" s="1"/>
  <c r="F19" i="162" s="1"/>
  <c r="F20" i="162" s="1"/>
  <c r="F21" i="162" s="1"/>
  <c r="F22" i="162" s="1"/>
  <c r="F23" i="162" s="1"/>
  <c r="F24" i="162" s="1"/>
  <c r="F25" i="162" s="1"/>
  <c r="F26" i="162" s="1"/>
  <c r="F27" i="162" s="1"/>
  <c r="F28" i="162" s="1"/>
  <c r="A6" i="162"/>
  <c r="E3" i="162"/>
  <c r="A3" i="162"/>
  <c r="A2" i="162"/>
  <c r="A1" i="162"/>
  <c r="F23" i="161"/>
  <c r="E10" i="159" s="1"/>
  <c r="D23" i="161"/>
  <c r="D10" i="159"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H24" i="160"/>
  <c r="C8" i="159" s="1"/>
  <c r="C15" i="159" s="1"/>
  <c r="F33" i="17" s="1"/>
  <c r="G33" i="17" s="1"/>
  <c r="G24" i="160"/>
  <c r="C24" i="160"/>
  <c r="A6" i="160"/>
  <c r="D3" i="160"/>
  <c r="A3" i="160"/>
  <c r="A2" i="160"/>
  <c r="A1" i="160"/>
  <c r="H31" i="158"/>
  <c r="H30" i="158"/>
  <c r="F25" i="158"/>
  <c r="E21" i="18" s="1"/>
  <c r="D25" i="158"/>
  <c r="D21" i="18" s="1"/>
  <c r="G10" i="158"/>
  <c r="G11" i="158" s="1"/>
  <c r="G12" i="158" s="1"/>
  <c r="G13" i="158" s="1"/>
  <c r="G14" i="158" s="1"/>
  <c r="G15" i="158" s="1"/>
  <c r="G16" i="158" s="1"/>
  <c r="G17" i="158" s="1"/>
  <c r="G18" i="158" s="1"/>
  <c r="G19" i="158" s="1"/>
  <c r="G20" i="158" s="1"/>
  <c r="G21" i="158" s="1"/>
  <c r="G22" i="158" s="1"/>
  <c r="G23" i="158" s="1"/>
  <c r="E9" i="158"/>
  <c r="E10" i="158" s="1"/>
  <c r="E11" i="158" s="1"/>
  <c r="E12" i="158" s="1"/>
  <c r="E13" i="158" s="1"/>
  <c r="E14" i="158" s="1"/>
  <c r="E15" i="158" s="1"/>
  <c r="E16" i="158" s="1"/>
  <c r="E17" i="158" s="1"/>
  <c r="E18" i="158" s="1"/>
  <c r="E19" i="158" s="1"/>
  <c r="E20" i="158" s="1"/>
  <c r="E21" i="158" s="1"/>
  <c r="E22" i="158" s="1"/>
  <c r="E23" i="158" s="1"/>
  <c r="A6" i="158"/>
  <c r="D3" i="158"/>
  <c r="A3" i="158"/>
  <c r="A2" i="158"/>
  <c r="A1" i="158"/>
  <c r="H28" i="158"/>
  <c r="F23" i="157"/>
  <c r="E20" i="18" s="1"/>
  <c r="D23" i="157"/>
  <c r="D20" i="18"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7" i="156"/>
  <c r="H28" i="156"/>
  <c r="D29" i="156"/>
  <c r="H26" i="156"/>
  <c r="F23" i="156"/>
  <c r="E15" i="80" s="1"/>
  <c r="D23" i="156"/>
  <c r="D15" i="80" s="1"/>
  <c r="G10" i="156"/>
  <c r="G11" i="156" s="1"/>
  <c r="G12" i="156" s="1"/>
  <c r="G13" i="156" s="1"/>
  <c r="G14" i="156" s="1"/>
  <c r="G15" i="156" s="1"/>
  <c r="G16" i="156" s="1"/>
  <c r="G17" i="156" s="1"/>
  <c r="G18" i="156" s="1"/>
  <c r="G19" i="156" s="1"/>
  <c r="G20" i="156" s="1"/>
  <c r="G21" i="156" s="1"/>
  <c r="E9" i="156"/>
  <c r="A6" i="156"/>
  <c r="D3" i="156"/>
  <c r="A3" i="156"/>
  <c r="A2" i="156"/>
  <c r="A1" i="156"/>
  <c r="D29" i="155"/>
  <c r="H28" i="155"/>
  <c r="F23" i="155"/>
  <c r="E13" i="128" s="1"/>
  <c r="D23" i="155"/>
  <c r="D13" i="128"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G22" i="153"/>
  <c r="H9" i="153"/>
  <c r="H10" i="153" s="1"/>
  <c r="H11" i="153" s="1"/>
  <c r="H12" i="153" s="1"/>
  <c r="H13" i="153" s="1"/>
  <c r="H14" i="153" s="1"/>
  <c r="H15" i="153" s="1"/>
  <c r="H16" i="153" s="1"/>
  <c r="H17" i="153" s="1"/>
  <c r="H18" i="153" s="1"/>
  <c r="H19" i="153" s="1"/>
  <c r="H20" i="153" s="1"/>
  <c r="A6" i="153"/>
  <c r="E3" i="153"/>
  <c r="A3" i="153"/>
  <c r="A2" i="153"/>
  <c r="A1" i="153"/>
  <c r="E23" i="152"/>
  <c r="F9" i="152"/>
  <c r="I9" i="152" s="1"/>
  <c r="A6" i="152"/>
  <c r="E3" i="152"/>
  <c r="A3" i="152"/>
  <c r="A2" i="152"/>
  <c r="A1" i="152"/>
  <c r="F23" i="151"/>
  <c r="D23" i="151"/>
  <c r="G10" i="151"/>
  <c r="G11" i="151" s="1"/>
  <c r="G12" i="151" s="1"/>
  <c r="G13" i="151" s="1"/>
  <c r="G14" i="151" s="1"/>
  <c r="G15" i="151" s="1"/>
  <c r="G16" i="151" s="1"/>
  <c r="G17" i="151" s="1"/>
  <c r="G18" i="151" s="1"/>
  <c r="G19" i="151" s="1"/>
  <c r="G20" i="151" s="1"/>
  <c r="G21" i="151" s="1"/>
  <c r="E10" i="151"/>
  <c r="E11" i="151" s="1"/>
  <c r="E12" i="151" s="1"/>
  <c r="E13" i="151" s="1"/>
  <c r="E14" i="151" s="1"/>
  <c r="E15" i="151" s="1"/>
  <c r="E16" i="151" s="1"/>
  <c r="E17" i="151" s="1"/>
  <c r="E18" i="151" s="1"/>
  <c r="E19" i="151" s="1"/>
  <c r="E20" i="151" s="1"/>
  <c r="E21" i="151" s="1"/>
  <c r="A6" i="151"/>
  <c r="D3" i="151"/>
  <c r="A3" i="151"/>
  <c r="A2" i="151"/>
  <c r="A1" i="151"/>
  <c r="H24" i="150"/>
  <c r="C8" i="149" s="1"/>
  <c r="C14" i="149" s="1"/>
  <c r="F21" i="17" s="1"/>
  <c r="G21" i="17" s="1"/>
  <c r="G24" i="150"/>
  <c r="C24" i="150"/>
  <c r="A6" i="150"/>
  <c r="D3" i="150"/>
  <c r="A3" i="150"/>
  <c r="A2" i="150"/>
  <c r="A1" i="150"/>
  <c r="D11" i="149"/>
  <c r="H10" i="151"/>
  <c r="H11" i="151" s="1"/>
  <c r="H12" i="151" s="1"/>
  <c r="H13" i="151" s="1"/>
  <c r="H14" i="151" s="1"/>
  <c r="H15" i="151" s="1"/>
  <c r="H16" i="151" s="1"/>
  <c r="H17" i="151" s="1"/>
  <c r="H18" i="151" s="1"/>
  <c r="H19" i="151" s="1"/>
  <c r="H20" i="151" s="1"/>
  <c r="H21" i="151" s="1"/>
  <c r="D27" i="82"/>
  <c r="A1" i="82"/>
  <c r="A2" i="82"/>
  <c r="A3" i="82"/>
  <c r="A6" i="82"/>
  <c r="F27" i="82"/>
  <c r="F26" i="82"/>
  <c r="H26" i="82" s="1"/>
  <c r="H27" i="148"/>
  <c r="H28" i="148"/>
  <c r="H29" i="148"/>
  <c r="H30" i="148"/>
  <c r="H31" i="148"/>
  <c r="D32" i="148"/>
  <c r="F23" i="148"/>
  <c r="E19" i="18" s="1"/>
  <c r="D23" i="148"/>
  <c r="D19" i="18" s="1"/>
  <c r="G10" i="148"/>
  <c r="G11" i="148" s="1"/>
  <c r="G12" i="148" s="1"/>
  <c r="G13" i="148" s="1"/>
  <c r="G14" i="148" s="1"/>
  <c r="G15" i="148" s="1"/>
  <c r="G16" i="148" s="1"/>
  <c r="G17" i="148" s="1"/>
  <c r="G18" i="148" s="1"/>
  <c r="G19" i="148" s="1"/>
  <c r="G20" i="148" s="1"/>
  <c r="G21" i="148" s="1"/>
  <c r="E9" i="148"/>
  <c r="E10" i="148" s="1"/>
  <c r="E11" i="148" s="1"/>
  <c r="E12" i="148" s="1"/>
  <c r="E13" i="148" s="1"/>
  <c r="E14" i="148" s="1"/>
  <c r="E15" i="148" s="1"/>
  <c r="E16" i="148" s="1"/>
  <c r="E17" i="148" s="1"/>
  <c r="E18" i="148" s="1"/>
  <c r="E19" i="148" s="1"/>
  <c r="E20" i="148" s="1"/>
  <c r="E21" i="148" s="1"/>
  <c r="A6" i="148"/>
  <c r="D3" i="148"/>
  <c r="A3" i="148"/>
  <c r="A2" i="148"/>
  <c r="A1" i="148"/>
  <c r="F27" i="115"/>
  <c r="D31" i="130"/>
  <c r="H30" i="130"/>
  <c r="H29" i="130"/>
  <c r="H28" i="130"/>
  <c r="H27" i="130"/>
  <c r="A1" i="130"/>
  <c r="G10" i="142"/>
  <c r="H10" i="142" s="1"/>
  <c r="G11" i="142"/>
  <c r="G15" i="116"/>
  <c r="G14" i="116"/>
  <c r="G19" i="106"/>
  <c r="G18" i="106"/>
  <c r="G17" i="94"/>
  <c r="G16" i="94"/>
  <c r="G22" i="32"/>
  <c r="G25" i="54"/>
  <c r="G24" i="54"/>
  <c r="G23" i="75"/>
  <c r="G22" i="75"/>
  <c r="G17" i="101"/>
  <c r="G16" i="101"/>
  <c r="G29" i="21"/>
  <c r="G28" i="21"/>
  <c r="G11" i="131"/>
  <c r="G10" i="131"/>
  <c r="H10" i="131" s="1"/>
  <c r="G17" i="83"/>
  <c r="G16" i="83"/>
  <c r="F41" i="20"/>
  <c r="H41" i="20" s="1"/>
  <c r="F35" i="20"/>
  <c r="H35" i="20" s="1"/>
  <c r="F29" i="20"/>
  <c r="D28" i="147"/>
  <c r="F23" i="147"/>
  <c r="E15" i="51" s="1"/>
  <c r="D23" i="147"/>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A6" i="147"/>
  <c r="D3" i="147"/>
  <c r="A3" i="147"/>
  <c r="A2" i="147"/>
  <c r="A1" i="147"/>
  <c r="H26" i="147"/>
  <c r="F28" i="67"/>
  <c r="H28" i="67" s="1"/>
  <c r="F27" i="67"/>
  <c r="H27" i="67" s="1"/>
  <c r="F23" i="146"/>
  <c r="E14" i="51" s="1"/>
  <c r="D23" i="146"/>
  <c r="G10" i="146"/>
  <c r="G11" i="146" s="1"/>
  <c r="G12" i="146" s="1"/>
  <c r="G13" i="146" s="1"/>
  <c r="G14" i="146" s="1"/>
  <c r="G15" i="146" s="1"/>
  <c r="G16" i="146" s="1"/>
  <c r="G17" i="146" s="1"/>
  <c r="G18" i="146" s="1"/>
  <c r="G19" i="146" s="1"/>
  <c r="G20" i="146" s="1"/>
  <c r="G21" i="146" s="1"/>
  <c r="E9" i="146"/>
  <c r="H9" i="146" s="1"/>
  <c r="H10" i="146" s="1"/>
  <c r="H11" i="146" s="1"/>
  <c r="H12" i="146" s="1"/>
  <c r="H13" i="146" s="1"/>
  <c r="H14" i="146" s="1"/>
  <c r="H15" i="146" s="1"/>
  <c r="H16" i="146" s="1"/>
  <c r="H17" i="146" s="1"/>
  <c r="H18" i="146" s="1"/>
  <c r="H19" i="146" s="1"/>
  <c r="H20" i="146" s="1"/>
  <c r="H21" i="146" s="1"/>
  <c r="A6" i="146"/>
  <c r="D3" i="146"/>
  <c r="A3" i="146"/>
  <c r="A2" i="146"/>
  <c r="A1" i="146"/>
  <c r="D14" i="51"/>
  <c r="H38" i="77"/>
  <c r="F27" i="96"/>
  <c r="H27" i="96" s="1"/>
  <c r="H31" i="96"/>
  <c r="F23" i="145"/>
  <c r="E16" i="29"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F23" i="144"/>
  <c r="D23" i="144"/>
  <c r="D15" i="29" s="1"/>
  <c r="G10" i="144"/>
  <c r="G11" i="144" s="1"/>
  <c r="G12" i="144" s="1"/>
  <c r="G13" i="144" s="1"/>
  <c r="G14" i="144" s="1"/>
  <c r="G15" i="144" s="1"/>
  <c r="G16" i="144" s="1"/>
  <c r="G17" i="144" s="1"/>
  <c r="G18" i="144" s="1"/>
  <c r="G19" i="144" s="1"/>
  <c r="G20" i="144" s="1"/>
  <c r="G21" i="144" s="1"/>
  <c r="E9" i="144"/>
  <c r="H9" i="144" s="1"/>
  <c r="H10" i="144" s="1"/>
  <c r="H11" i="144" s="1"/>
  <c r="H12" i="144" s="1"/>
  <c r="H13" i="144" s="1"/>
  <c r="H14" i="144" s="1"/>
  <c r="H15" i="144" s="1"/>
  <c r="H16" i="144" s="1"/>
  <c r="H17" i="144" s="1"/>
  <c r="H18" i="144" s="1"/>
  <c r="H19" i="144" s="1"/>
  <c r="H20" i="144" s="1"/>
  <c r="H21" i="144" s="1"/>
  <c r="A6" i="144"/>
  <c r="D3" i="144"/>
  <c r="A3" i="144"/>
  <c r="A2" i="144"/>
  <c r="A1" i="144"/>
  <c r="F26" i="127"/>
  <c r="H26" i="127" s="1"/>
  <c r="H42" i="64"/>
  <c r="F39" i="64"/>
  <c r="D13" i="125"/>
  <c r="D26" i="53"/>
  <c r="D28" i="53" s="1"/>
  <c r="F26" i="53"/>
  <c r="H41" i="71"/>
  <c r="H37" i="71"/>
  <c r="F29" i="71"/>
  <c r="H29" i="71" s="1"/>
  <c r="D26" i="74"/>
  <c r="F26" i="74"/>
  <c r="G22" i="143"/>
  <c r="E12" i="139" s="1"/>
  <c r="H9" i="143"/>
  <c r="H10" i="143" s="1"/>
  <c r="H11" i="143" s="1"/>
  <c r="H12" i="143" s="1"/>
  <c r="H13" i="143" s="1"/>
  <c r="H14" i="143" s="1"/>
  <c r="H15" i="143" s="1"/>
  <c r="H16" i="143" s="1"/>
  <c r="H17" i="143" s="1"/>
  <c r="H18" i="143" s="1"/>
  <c r="H19" i="143" s="1"/>
  <c r="H20" i="143" s="1"/>
  <c r="A6" i="143"/>
  <c r="E3" i="143"/>
  <c r="A3" i="143"/>
  <c r="A2" i="143"/>
  <c r="A1" i="143"/>
  <c r="E34" i="142"/>
  <c r="D11" i="139" s="1"/>
  <c r="F9" i="142"/>
  <c r="F10" i="142" s="1"/>
  <c r="F11" i="142" s="1"/>
  <c r="F12" i="142" s="1"/>
  <c r="F13" i="142" s="1"/>
  <c r="F14" i="142" s="1"/>
  <c r="F15" i="142" s="1"/>
  <c r="F16" i="142" s="1"/>
  <c r="F17" i="142" s="1"/>
  <c r="F18" i="142" s="1"/>
  <c r="F19" i="142" s="1"/>
  <c r="F20" i="142" s="1"/>
  <c r="F21" i="142" s="1"/>
  <c r="F22" i="142" s="1"/>
  <c r="F23" i="142" s="1"/>
  <c r="F24" i="142" s="1"/>
  <c r="F25" i="142" s="1"/>
  <c r="F26" i="142" s="1"/>
  <c r="F27" i="142" s="1"/>
  <c r="F28" i="142" s="1"/>
  <c r="F29" i="142" s="1"/>
  <c r="F30" i="142" s="1"/>
  <c r="F31" i="142" s="1"/>
  <c r="F32" i="142" s="1"/>
  <c r="A6" i="142"/>
  <c r="E3" i="142"/>
  <c r="A3" i="142"/>
  <c r="A2" i="142"/>
  <c r="A1" i="142"/>
  <c r="F23" i="141"/>
  <c r="E10" i="139" s="1"/>
  <c r="D23" i="141"/>
  <c r="D10" i="139" s="1"/>
  <c r="G10" i="141"/>
  <c r="G11" i="141" s="1"/>
  <c r="G12" i="141" s="1"/>
  <c r="G13" i="141" s="1"/>
  <c r="G14" i="141" s="1"/>
  <c r="G15" i="141" s="1"/>
  <c r="G16" i="141" s="1"/>
  <c r="G17" i="141" s="1"/>
  <c r="G18" i="141" s="1"/>
  <c r="G19" i="141" s="1"/>
  <c r="G20" i="141" s="1"/>
  <c r="G21" i="141" s="1"/>
  <c r="E9" i="141"/>
  <c r="E10" i="141" s="1"/>
  <c r="E11" i="141" s="1"/>
  <c r="E12" i="141" s="1"/>
  <c r="E13" i="141" s="1"/>
  <c r="E14" i="141" s="1"/>
  <c r="E15" i="141" s="1"/>
  <c r="E16" i="141" s="1"/>
  <c r="E17" i="141" s="1"/>
  <c r="E18" i="141" s="1"/>
  <c r="E19" i="141" s="1"/>
  <c r="E20" i="141" s="1"/>
  <c r="E21" i="141" s="1"/>
  <c r="A6" i="141"/>
  <c r="D3" i="141"/>
  <c r="A3" i="141"/>
  <c r="A2" i="141"/>
  <c r="A1" i="141"/>
  <c r="H24" i="140"/>
  <c r="C8" i="139" s="1"/>
  <c r="C18" i="139" s="1"/>
  <c r="G24" i="140"/>
  <c r="C24" i="140"/>
  <c r="A6" i="140"/>
  <c r="D3" i="140"/>
  <c r="A3" i="140"/>
  <c r="A2" i="140"/>
  <c r="A1" i="140"/>
  <c r="F26" i="115"/>
  <c r="E9" i="47"/>
  <c r="G11" i="125"/>
  <c r="G10" i="125"/>
  <c r="H10" i="125" s="1"/>
  <c r="G13" i="116"/>
  <c r="G12" i="116"/>
  <c r="G17" i="106"/>
  <c r="G16" i="106"/>
  <c r="G15" i="94"/>
  <c r="G14" i="94"/>
  <c r="G23" i="54"/>
  <c r="G22" i="54"/>
  <c r="G21" i="32"/>
  <c r="G21" i="75"/>
  <c r="G20" i="75"/>
  <c r="G15" i="101"/>
  <c r="G14" i="101"/>
  <c r="G27" i="21"/>
  <c r="G26" i="21"/>
  <c r="G15" i="83"/>
  <c r="G14" i="83"/>
  <c r="F27" i="97"/>
  <c r="H27" i="97" s="1"/>
  <c r="D55" i="138"/>
  <c r="H54" i="138"/>
  <c r="H53" i="138"/>
  <c r="H52" i="138"/>
  <c r="H44" i="138"/>
  <c r="H45" i="138"/>
  <c r="H46" i="138"/>
  <c r="H37" i="138"/>
  <c r="H38" i="138"/>
  <c r="H29" i="138"/>
  <c r="H30" i="138"/>
  <c r="D47" i="138"/>
  <c r="D39" i="138"/>
  <c r="D31" i="138"/>
  <c r="F23" i="138"/>
  <c r="E14" i="80" s="1"/>
  <c r="D23" i="138"/>
  <c r="D14" i="80" s="1"/>
  <c r="G10" i="138"/>
  <c r="G11" i="138" s="1"/>
  <c r="G12" i="138" s="1"/>
  <c r="G13" i="138" s="1"/>
  <c r="G14" i="138" s="1"/>
  <c r="G15" i="138" s="1"/>
  <c r="G16" i="138" s="1"/>
  <c r="G17" i="138" s="1"/>
  <c r="G18" i="138" s="1"/>
  <c r="G19" i="138" s="1"/>
  <c r="G20" i="138" s="1"/>
  <c r="G21" i="138" s="1"/>
  <c r="E9" i="138"/>
  <c r="E10" i="138" s="1"/>
  <c r="E11" i="138" s="1"/>
  <c r="E12" i="138" s="1"/>
  <c r="E13" i="138" s="1"/>
  <c r="E14" i="138" s="1"/>
  <c r="E15" i="138" s="1"/>
  <c r="E16" i="138" s="1"/>
  <c r="E17" i="138" s="1"/>
  <c r="E18" i="138" s="1"/>
  <c r="E19" i="138" s="1"/>
  <c r="E20" i="138" s="1"/>
  <c r="E21" i="138" s="1"/>
  <c r="A6" i="138"/>
  <c r="D3" i="138"/>
  <c r="A3" i="138"/>
  <c r="A2" i="138"/>
  <c r="A1" i="138"/>
  <c r="D28" i="49"/>
  <c r="D26" i="49"/>
  <c r="F26" i="49"/>
  <c r="I10" i="36"/>
  <c r="I13" i="36" s="1"/>
  <c r="I15" i="36" s="1"/>
  <c r="I16" i="36" s="1"/>
  <c r="I18" i="36" s="1"/>
  <c r="I19" i="36" s="1"/>
  <c r="I21" i="36" s="1"/>
  <c r="I22" i="36" s="1"/>
  <c r="G22" i="137"/>
  <c r="E12" i="133" s="1"/>
  <c r="H9" i="137"/>
  <c r="H10" i="137" s="1"/>
  <c r="H11" i="137" s="1"/>
  <c r="H12" i="137" s="1"/>
  <c r="H13" i="137" s="1"/>
  <c r="H14" i="137" s="1"/>
  <c r="H15" i="137" s="1"/>
  <c r="H16" i="137" s="1"/>
  <c r="H17" i="137" s="1"/>
  <c r="H18" i="137" s="1"/>
  <c r="H19" i="137" s="1"/>
  <c r="H20" i="137" s="1"/>
  <c r="A6" i="137"/>
  <c r="E3" i="137"/>
  <c r="A3" i="137"/>
  <c r="A2" i="137"/>
  <c r="A1" i="137"/>
  <c r="G23" i="136"/>
  <c r="E11" i="133" s="1"/>
  <c r="E23" i="136"/>
  <c r="H10" i="136"/>
  <c r="H11" i="136" s="1"/>
  <c r="H12" i="136" s="1"/>
  <c r="H13" i="136" s="1"/>
  <c r="H14" i="136" s="1"/>
  <c r="H15" i="136" s="1"/>
  <c r="H16" i="136" s="1"/>
  <c r="H17" i="136" s="1"/>
  <c r="H18" i="136" s="1"/>
  <c r="H19" i="136" s="1"/>
  <c r="H20" i="136" s="1"/>
  <c r="H21" i="136" s="1"/>
  <c r="F9" i="136"/>
  <c r="F10" i="136" s="1"/>
  <c r="F11" i="136" s="1"/>
  <c r="F12" i="136" s="1"/>
  <c r="F13" i="136" s="1"/>
  <c r="F14" i="136" s="1"/>
  <c r="F15" i="136" s="1"/>
  <c r="F16" i="136" s="1"/>
  <c r="F17" i="136" s="1"/>
  <c r="F18" i="136" s="1"/>
  <c r="F19" i="136" s="1"/>
  <c r="F20" i="136" s="1"/>
  <c r="F21" i="136" s="1"/>
  <c r="A6" i="136"/>
  <c r="E3" i="136"/>
  <c r="A3" i="136"/>
  <c r="A2" i="136"/>
  <c r="A1" i="136"/>
  <c r="F23" i="135"/>
  <c r="E10" i="133" s="1"/>
  <c r="D23" i="135"/>
  <c r="G10" i="135"/>
  <c r="G11" i="135" s="1"/>
  <c r="G12" i="135" s="1"/>
  <c r="G13" i="135" s="1"/>
  <c r="G14" i="135" s="1"/>
  <c r="G15" i="135" s="1"/>
  <c r="G16" i="135" s="1"/>
  <c r="G17" i="135" s="1"/>
  <c r="G18" i="135" s="1"/>
  <c r="G19" i="135" s="1"/>
  <c r="G20" i="135" s="1"/>
  <c r="G21" i="135" s="1"/>
  <c r="E9" i="135"/>
  <c r="A6" i="135"/>
  <c r="D3" i="135"/>
  <c r="A3" i="135"/>
  <c r="A2" i="135"/>
  <c r="A1" i="135"/>
  <c r="H24" i="134"/>
  <c r="C8" i="133" s="1"/>
  <c r="C14" i="133" s="1"/>
  <c r="F31" i="17" s="1"/>
  <c r="G31" i="17" s="1"/>
  <c r="G24" i="134"/>
  <c r="C24" i="134"/>
  <c r="A6" i="134"/>
  <c r="D3" i="134"/>
  <c r="A3" i="134"/>
  <c r="A2" i="134"/>
  <c r="A1" i="134"/>
  <c r="G22" i="132"/>
  <c r="E12" i="128" s="1"/>
  <c r="H9" i="132"/>
  <c r="H10" i="132" s="1"/>
  <c r="H11" i="132" s="1"/>
  <c r="H12" i="132" s="1"/>
  <c r="H13" i="132" s="1"/>
  <c r="H14" i="132" s="1"/>
  <c r="H15" i="132" s="1"/>
  <c r="H16" i="132" s="1"/>
  <c r="H17" i="132" s="1"/>
  <c r="H18" i="132" s="1"/>
  <c r="H19" i="132" s="1"/>
  <c r="H20" i="132" s="1"/>
  <c r="A6" i="132"/>
  <c r="E3" i="132"/>
  <c r="A3" i="132"/>
  <c r="A2" i="132"/>
  <c r="A1" i="132"/>
  <c r="E38" i="131"/>
  <c r="D11" i="128" s="1"/>
  <c r="F9" i="131"/>
  <c r="F10" i="131" s="1"/>
  <c r="F11" i="131" s="1"/>
  <c r="F12" i="131" s="1"/>
  <c r="F13" i="131" s="1"/>
  <c r="F14" i="131" s="1"/>
  <c r="F15" i="131" s="1"/>
  <c r="F16" i="131" s="1"/>
  <c r="F17" i="131" s="1"/>
  <c r="F18" i="131" s="1"/>
  <c r="F19" i="131" s="1"/>
  <c r="F20" i="131" s="1"/>
  <c r="F21" i="131" s="1"/>
  <c r="F22" i="131" s="1"/>
  <c r="F23" i="131" s="1"/>
  <c r="F24" i="131" s="1"/>
  <c r="F25" i="131" s="1"/>
  <c r="F26" i="131" s="1"/>
  <c r="F27" i="131" s="1"/>
  <c r="F28" i="131" s="1"/>
  <c r="F29" i="131" s="1"/>
  <c r="F30" i="131" s="1"/>
  <c r="F31" i="131" s="1"/>
  <c r="F32" i="131" s="1"/>
  <c r="F33" i="131" s="1"/>
  <c r="F34" i="131" s="1"/>
  <c r="F35" i="131" s="1"/>
  <c r="F36" i="131" s="1"/>
  <c r="A6" i="131"/>
  <c r="E3" i="131"/>
  <c r="A3" i="131"/>
  <c r="A2" i="131"/>
  <c r="A1" i="131"/>
  <c r="F23" i="130"/>
  <c r="E10" i="128" s="1"/>
  <c r="D23" i="130"/>
  <c r="G10" i="130"/>
  <c r="G11" i="130" s="1"/>
  <c r="G12" i="130" s="1"/>
  <c r="G13" i="130" s="1"/>
  <c r="G14" i="130" s="1"/>
  <c r="G15" i="130" s="1"/>
  <c r="G16" i="130" s="1"/>
  <c r="G17" i="130" s="1"/>
  <c r="G18" i="130" s="1"/>
  <c r="G19" i="130" s="1"/>
  <c r="G20" i="130" s="1"/>
  <c r="G21" i="130" s="1"/>
  <c r="E9" i="130"/>
  <c r="A6" i="130"/>
  <c r="D3" i="130"/>
  <c r="A3" i="130"/>
  <c r="A2" i="130"/>
  <c r="H24" i="129"/>
  <c r="C8" i="128" s="1"/>
  <c r="C19" i="128" s="1"/>
  <c r="F15" i="17" s="1"/>
  <c r="G15" i="17" s="1"/>
  <c r="G24" i="129"/>
  <c r="C24" i="129"/>
  <c r="A6" i="129"/>
  <c r="D3" i="129"/>
  <c r="A3" i="129"/>
  <c r="A2" i="129"/>
  <c r="A1" i="129"/>
  <c r="D73" i="65"/>
  <c r="D71" i="65"/>
  <c r="D70" i="65"/>
  <c r="D69" i="65"/>
  <c r="D64" i="65"/>
  <c r="D62" i="65"/>
  <c r="D61" i="65"/>
  <c r="D55" i="65"/>
  <c r="D53" i="65"/>
  <c r="D52" i="65"/>
  <c r="D47" i="65"/>
  <c r="D45" i="65"/>
  <c r="D44" i="65"/>
  <c r="D43" i="65"/>
  <c r="D39" i="65"/>
  <c r="D37" i="65"/>
  <c r="D36" i="65"/>
  <c r="D35" i="65"/>
  <c r="D29" i="65"/>
  <c r="D28" i="65"/>
  <c r="D27" i="65"/>
  <c r="F65" i="65"/>
  <c r="H65" i="65" s="1"/>
  <c r="F56" i="65"/>
  <c r="H56" i="65" s="1"/>
  <c r="F73" i="65"/>
  <c r="F72" i="65"/>
  <c r="F71" i="65"/>
  <c r="F70" i="65"/>
  <c r="F69" i="65"/>
  <c r="F64" i="65"/>
  <c r="F63" i="65"/>
  <c r="H63" i="65" s="1"/>
  <c r="F62" i="65"/>
  <c r="F61" i="65"/>
  <c r="F60" i="65"/>
  <c r="F55" i="65"/>
  <c r="F54" i="65"/>
  <c r="H54" i="65" s="1"/>
  <c r="F53" i="65"/>
  <c r="F52" i="65"/>
  <c r="F51" i="65"/>
  <c r="H51" i="65" s="1"/>
  <c r="F47" i="65"/>
  <c r="F46" i="65"/>
  <c r="H46" i="65" s="1"/>
  <c r="F45" i="65"/>
  <c r="F44" i="65"/>
  <c r="F43" i="65"/>
  <c r="F39" i="65"/>
  <c r="F38" i="65"/>
  <c r="H38" i="65" s="1"/>
  <c r="F37" i="65"/>
  <c r="F36" i="65"/>
  <c r="F35" i="65"/>
  <c r="F31" i="65"/>
  <c r="H31" i="65" s="1"/>
  <c r="F30" i="65"/>
  <c r="H30" i="65" s="1"/>
  <c r="F29" i="65"/>
  <c r="F27" i="65"/>
  <c r="D30" i="127"/>
  <c r="H27" i="127"/>
  <c r="H28" i="127"/>
  <c r="H29" i="127"/>
  <c r="F23" i="127"/>
  <c r="E13" i="91" s="1"/>
  <c r="D23" i="127"/>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G22" i="126"/>
  <c r="E12" i="122" s="1"/>
  <c r="H9" i="126"/>
  <c r="H10" i="126" s="1"/>
  <c r="H11" i="126" s="1"/>
  <c r="H12" i="126" s="1"/>
  <c r="H13" i="126" s="1"/>
  <c r="H14" i="126" s="1"/>
  <c r="H15" i="126" s="1"/>
  <c r="H16" i="126" s="1"/>
  <c r="H17" i="126" s="1"/>
  <c r="H18" i="126" s="1"/>
  <c r="H19" i="126" s="1"/>
  <c r="H20" i="126" s="1"/>
  <c r="A6" i="126"/>
  <c r="E3" i="126"/>
  <c r="A3" i="126"/>
  <c r="A2" i="126"/>
  <c r="A1" i="126"/>
  <c r="E23" i="125"/>
  <c r="D11" i="122" s="1"/>
  <c r="F9" i="125"/>
  <c r="I9" i="125" s="1"/>
  <c r="I10" i="125" s="1"/>
  <c r="A6" i="125"/>
  <c r="E3" i="125"/>
  <c r="A3" i="125"/>
  <c r="A2" i="125"/>
  <c r="A1" i="125"/>
  <c r="F23" i="124"/>
  <c r="D23" i="124"/>
  <c r="D10" i="122"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4" i="123"/>
  <c r="C8" i="122" s="1"/>
  <c r="C14" i="122" s="1"/>
  <c r="F30" i="17" s="1"/>
  <c r="G30" i="17" s="1"/>
  <c r="G24" i="123"/>
  <c r="C24" i="123"/>
  <c r="A6" i="123"/>
  <c r="D3" i="123"/>
  <c r="A3" i="123"/>
  <c r="A2" i="123"/>
  <c r="A1" i="123"/>
  <c r="F27" i="74"/>
  <c r="F28" i="74" s="1"/>
  <c r="F23" i="121"/>
  <c r="E15" i="72" s="1"/>
  <c r="D23" i="121"/>
  <c r="D15" i="72"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G11" i="116"/>
  <c r="G10" i="116"/>
  <c r="G15" i="106"/>
  <c r="G14" i="106"/>
  <c r="G13" i="94"/>
  <c r="G12" i="94"/>
  <c r="G21" i="54"/>
  <c r="G20" i="54"/>
  <c r="G20" i="32"/>
  <c r="G19" i="75"/>
  <c r="G18" i="75"/>
  <c r="G25" i="26"/>
  <c r="G24" i="26"/>
  <c r="G17" i="62"/>
  <c r="G16" i="62"/>
  <c r="G13" i="101"/>
  <c r="G12" i="101"/>
  <c r="G25" i="21"/>
  <c r="G24" i="21"/>
  <c r="G13" i="83"/>
  <c r="G12" i="83"/>
  <c r="F23" i="120"/>
  <c r="E14" i="72" s="1"/>
  <c r="D23" i="120"/>
  <c r="D14" i="7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I10" i="50"/>
  <c r="I13" i="50" s="1"/>
  <c r="I15" i="50" s="1"/>
  <c r="I16" i="50" s="1"/>
  <c r="I18" i="50" s="1"/>
  <c r="I19" i="50" s="1"/>
  <c r="I21" i="50" s="1"/>
  <c r="I23" i="50" s="1"/>
  <c r="I25" i="50" s="1"/>
  <c r="I26" i="50" s="1"/>
  <c r="F26" i="97"/>
  <c r="H26" i="97" s="1"/>
  <c r="D28" i="115"/>
  <c r="H26" i="115"/>
  <c r="F23" i="119"/>
  <c r="E13" i="80" s="1"/>
  <c r="D23" i="119"/>
  <c r="D13" i="8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G11" i="106"/>
  <c r="G11" i="94"/>
  <c r="G19" i="54"/>
  <c r="G17" i="75"/>
  <c r="G23" i="26"/>
  <c r="G11" i="101"/>
  <c r="G23" i="21"/>
  <c r="G11" i="83"/>
  <c r="G19" i="32"/>
  <c r="G10" i="106"/>
  <c r="G10" i="94"/>
  <c r="H10" i="94" s="1"/>
  <c r="G18" i="54"/>
  <c r="G16" i="75"/>
  <c r="G22" i="26"/>
  <c r="G10" i="101"/>
  <c r="G22" i="21"/>
  <c r="G10" i="83"/>
  <c r="H10" i="83" s="1"/>
  <c r="H27" i="118"/>
  <c r="F23" i="118"/>
  <c r="E13" i="98" s="1"/>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D28" i="93"/>
  <c r="H27" i="93"/>
  <c r="H26" i="93"/>
  <c r="A1" i="117"/>
  <c r="G22" i="117"/>
  <c r="H9" i="117"/>
  <c r="H10" i="117" s="1"/>
  <c r="H11" i="117" s="1"/>
  <c r="H12" i="117" s="1"/>
  <c r="H13" i="117" s="1"/>
  <c r="H14" i="117" s="1"/>
  <c r="H15" i="117" s="1"/>
  <c r="H16" i="117" s="1"/>
  <c r="H17" i="117" s="1"/>
  <c r="H18" i="117" s="1"/>
  <c r="H19" i="117" s="1"/>
  <c r="H20" i="117" s="1"/>
  <c r="A6" i="117"/>
  <c r="E3" i="117"/>
  <c r="A3" i="117"/>
  <c r="A2" i="117"/>
  <c r="F9" i="116"/>
  <c r="I9" i="116" s="1"/>
  <c r="I10" i="116" s="1"/>
  <c r="I11" i="116" s="1"/>
  <c r="A6" i="116"/>
  <c r="E3" i="116"/>
  <c r="A3" i="116"/>
  <c r="A2" i="116"/>
  <c r="A1" i="116"/>
  <c r="F23" i="115"/>
  <c r="E10" i="113" s="1"/>
  <c r="D23" i="115"/>
  <c r="G10" i="115"/>
  <c r="G11" i="115" s="1"/>
  <c r="G12" i="115" s="1"/>
  <c r="G13" i="115" s="1"/>
  <c r="G14" i="115" s="1"/>
  <c r="G15" i="115" s="1"/>
  <c r="G16" i="115" s="1"/>
  <c r="G17" i="115" s="1"/>
  <c r="G18" i="115" s="1"/>
  <c r="G19" i="115" s="1"/>
  <c r="G20" i="115" s="1"/>
  <c r="G21" i="115" s="1"/>
  <c r="E9" i="115"/>
  <c r="H9" i="115" s="1"/>
  <c r="H10" i="115" s="1"/>
  <c r="H11" i="115" s="1"/>
  <c r="H12" i="115" s="1"/>
  <c r="H13" i="115" s="1"/>
  <c r="H14" i="115" s="1"/>
  <c r="H15" i="115" s="1"/>
  <c r="H16" i="115" s="1"/>
  <c r="H17" i="115" s="1"/>
  <c r="H18" i="115" s="1"/>
  <c r="H19" i="115" s="1"/>
  <c r="H20" i="115" s="1"/>
  <c r="H21" i="115" s="1"/>
  <c r="A6" i="115"/>
  <c r="D3" i="115"/>
  <c r="A3" i="115"/>
  <c r="A2" i="115"/>
  <c r="A1" i="115"/>
  <c r="H24" i="114"/>
  <c r="C8" i="113" s="1"/>
  <c r="C14" i="113" s="1"/>
  <c r="F29" i="17" s="1"/>
  <c r="G29" i="17" s="1"/>
  <c r="G24" i="114"/>
  <c r="C24" i="114"/>
  <c r="A6" i="114"/>
  <c r="D3" i="114"/>
  <c r="A3" i="114"/>
  <c r="A2" i="114"/>
  <c r="A1" i="114"/>
  <c r="D10" i="113"/>
  <c r="G22" i="112"/>
  <c r="D12" i="108" s="1"/>
  <c r="H9" i="112"/>
  <c r="H10" i="112" s="1"/>
  <c r="H11" i="112" s="1"/>
  <c r="H12" i="112" s="1"/>
  <c r="H13" i="112" s="1"/>
  <c r="H14" i="112" s="1"/>
  <c r="H15" i="112" s="1"/>
  <c r="H16" i="112" s="1"/>
  <c r="H17" i="112" s="1"/>
  <c r="H18" i="112" s="1"/>
  <c r="H19" i="112" s="1"/>
  <c r="H20" i="112" s="1"/>
  <c r="A6" i="112"/>
  <c r="E3" i="112"/>
  <c r="A3" i="112"/>
  <c r="A2" i="112"/>
  <c r="A1" i="112"/>
  <c r="G23" i="111"/>
  <c r="E11" i="108" s="1"/>
  <c r="E23" i="111"/>
  <c r="D11" i="108" s="1"/>
  <c r="H10" i="111"/>
  <c r="H11" i="111" s="1"/>
  <c r="H12" i="111" s="1"/>
  <c r="H13" i="111" s="1"/>
  <c r="H14" i="111" s="1"/>
  <c r="H15" i="111" s="1"/>
  <c r="H16" i="111" s="1"/>
  <c r="H17" i="111" s="1"/>
  <c r="H18" i="111" s="1"/>
  <c r="H19" i="111" s="1"/>
  <c r="H20" i="111" s="1"/>
  <c r="H21" i="111" s="1"/>
  <c r="F9" i="111"/>
  <c r="F10" i="111" s="1"/>
  <c r="F11" i="111" s="1"/>
  <c r="F12" i="111" s="1"/>
  <c r="F13" i="111" s="1"/>
  <c r="F14" i="111" s="1"/>
  <c r="F15" i="111" s="1"/>
  <c r="F16" i="111" s="1"/>
  <c r="F17" i="111" s="1"/>
  <c r="F18" i="111" s="1"/>
  <c r="F19" i="111" s="1"/>
  <c r="F20" i="111" s="1"/>
  <c r="F21" i="111" s="1"/>
  <c r="A6" i="111"/>
  <c r="E3" i="111"/>
  <c r="A3" i="111"/>
  <c r="A2" i="111"/>
  <c r="A1" i="111"/>
  <c r="F23" i="110"/>
  <c r="E10" i="108" s="1"/>
  <c r="D23" i="110"/>
  <c r="D10" i="108" s="1"/>
  <c r="G10" i="110"/>
  <c r="G11" i="110" s="1"/>
  <c r="G12" i="110" s="1"/>
  <c r="G13" i="110" s="1"/>
  <c r="G14" i="110" s="1"/>
  <c r="G15" i="110" s="1"/>
  <c r="G16" i="110" s="1"/>
  <c r="G17" i="110" s="1"/>
  <c r="G18" i="110" s="1"/>
  <c r="G19" i="110" s="1"/>
  <c r="G20" i="110" s="1"/>
  <c r="G21" i="110" s="1"/>
  <c r="E9" i="110"/>
  <c r="A6" i="110"/>
  <c r="D3" i="110"/>
  <c r="A3" i="110"/>
  <c r="A2" i="110"/>
  <c r="A1" i="110"/>
  <c r="H24" i="109"/>
  <c r="C8" i="108" s="1"/>
  <c r="C14" i="108" s="1"/>
  <c r="F28" i="17" s="1"/>
  <c r="G28" i="17" s="1"/>
  <c r="G24" i="109"/>
  <c r="C24" i="109"/>
  <c r="A6" i="109"/>
  <c r="D3" i="109"/>
  <c r="A3" i="109"/>
  <c r="A2" i="109"/>
  <c r="A1" i="109"/>
  <c r="G22" i="107"/>
  <c r="D12" i="103" s="1"/>
  <c r="H9" i="107"/>
  <c r="H10" i="107" s="1"/>
  <c r="H11" i="107" s="1"/>
  <c r="H12" i="107" s="1"/>
  <c r="H13" i="107" s="1"/>
  <c r="H14" i="107" s="1"/>
  <c r="H15" i="107" s="1"/>
  <c r="H16" i="107" s="1"/>
  <c r="H17" i="107" s="1"/>
  <c r="H18" i="107" s="1"/>
  <c r="H19" i="107" s="1"/>
  <c r="H20" i="107" s="1"/>
  <c r="A6" i="107"/>
  <c r="E3" i="107"/>
  <c r="A3" i="107"/>
  <c r="A2" i="107"/>
  <c r="A1" i="107"/>
  <c r="E26" i="106"/>
  <c r="D11" i="103" s="1"/>
  <c r="A6" i="106"/>
  <c r="E3" i="106"/>
  <c r="A3" i="106"/>
  <c r="A2" i="106"/>
  <c r="A1" i="106"/>
  <c r="F23" i="105"/>
  <c r="E10" i="103" s="1"/>
  <c r="D23" i="105"/>
  <c r="D10" i="103" s="1"/>
  <c r="G10" i="105"/>
  <c r="G11" i="105" s="1"/>
  <c r="G12" i="105" s="1"/>
  <c r="G13" i="105" s="1"/>
  <c r="G14" i="105" s="1"/>
  <c r="G15" i="105" s="1"/>
  <c r="G16" i="105" s="1"/>
  <c r="G17" i="105" s="1"/>
  <c r="G18" i="105" s="1"/>
  <c r="G19" i="105" s="1"/>
  <c r="G20" i="105" s="1"/>
  <c r="G21" i="105" s="1"/>
  <c r="E9" i="105"/>
  <c r="H9" i="105" s="1"/>
  <c r="H10" i="105" s="1"/>
  <c r="H11" i="105" s="1"/>
  <c r="H12" i="105" s="1"/>
  <c r="H13" i="105" s="1"/>
  <c r="H14" i="105" s="1"/>
  <c r="H15" i="105" s="1"/>
  <c r="H16" i="105" s="1"/>
  <c r="H17" i="105" s="1"/>
  <c r="H18" i="105" s="1"/>
  <c r="H19" i="105" s="1"/>
  <c r="H20" i="105" s="1"/>
  <c r="H21" i="105" s="1"/>
  <c r="A6" i="105"/>
  <c r="D3" i="105"/>
  <c r="A3" i="105"/>
  <c r="A2" i="105"/>
  <c r="A1" i="105"/>
  <c r="H24" i="104"/>
  <c r="C8" i="103" s="1"/>
  <c r="C14" i="103" s="1"/>
  <c r="G24" i="104"/>
  <c r="C24" i="104"/>
  <c r="A6" i="104"/>
  <c r="D3" i="104"/>
  <c r="A3" i="104"/>
  <c r="A2" i="104"/>
  <c r="A1" i="104"/>
  <c r="F36" i="71"/>
  <c r="H36" i="71" s="1"/>
  <c r="F30" i="71"/>
  <c r="H9" i="81"/>
  <c r="H24" i="81" s="1"/>
  <c r="C8" i="80" s="1"/>
  <c r="C23" i="80" s="1"/>
  <c r="F14" i="17" s="1"/>
  <c r="G14" i="17" s="1"/>
  <c r="F40" i="64"/>
  <c r="H40" i="64" s="1"/>
  <c r="A1" i="102"/>
  <c r="G22" i="102"/>
  <c r="E12" i="98" s="1"/>
  <c r="H9" i="102"/>
  <c r="H10" i="102" s="1"/>
  <c r="H11" i="102" s="1"/>
  <c r="H12" i="102" s="1"/>
  <c r="H13" i="102" s="1"/>
  <c r="H14" i="102" s="1"/>
  <c r="H15" i="102" s="1"/>
  <c r="H16" i="102" s="1"/>
  <c r="H17" i="102" s="1"/>
  <c r="H18" i="102" s="1"/>
  <c r="H19" i="102" s="1"/>
  <c r="H20" i="102" s="1"/>
  <c r="A6" i="102"/>
  <c r="E3" i="102"/>
  <c r="A3" i="102"/>
  <c r="A2" i="102"/>
  <c r="E44" i="101"/>
  <c r="D11" i="98" s="1"/>
  <c r="F9" i="101"/>
  <c r="F10" i="101" s="1"/>
  <c r="F11" i="101" s="1"/>
  <c r="F12" i="101" s="1"/>
  <c r="F13" i="101" s="1"/>
  <c r="F14" i="101" s="1"/>
  <c r="F15" i="101" s="1"/>
  <c r="F16" i="101" s="1"/>
  <c r="F17" i="101" s="1"/>
  <c r="F18" i="101" s="1"/>
  <c r="F19" i="101" s="1"/>
  <c r="F20" i="101" s="1"/>
  <c r="F21" i="101" s="1"/>
  <c r="F22" i="101" s="1"/>
  <c r="F23" i="101" s="1"/>
  <c r="F24" i="101" s="1"/>
  <c r="F25" i="101" s="1"/>
  <c r="F26" i="101" s="1"/>
  <c r="F27" i="101" s="1"/>
  <c r="F28" i="101" s="1"/>
  <c r="F29" i="101" s="1"/>
  <c r="F30" i="101" s="1"/>
  <c r="F31" i="101" s="1"/>
  <c r="F32" i="101" s="1"/>
  <c r="F33" i="101" s="1"/>
  <c r="F34" i="101" s="1"/>
  <c r="F35" i="101" s="1"/>
  <c r="F36" i="101" s="1"/>
  <c r="F37" i="101" s="1"/>
  <c r="F38" i="101" s="1"/>
  <c r="F39" i="101" s="1"/>
  <c r="F40" i="101" s="1"/>
  <c r="F41" i="101" s="1"/>
  <c r="F42" i="101" s="1"/>
  <c r="A6" i="101"/>
  <c r="E3" i="101"/>
  <c r="A3" i="101"/>
  <c r="A2" i="101"/>
  <c r="A1" i="101"/>
  <c r="F23" i="100"/>
  <c r="E10" i="98" s="1"/>
  <c r="D23" i="100"/>
  <c r="G10" i="100"/>
  <c r="G11" i="100" s="1"/>
  <c r="G12" i="100" s="1"/>
  <c r="G13" i="100" s="1"/>
  <c r="G14" i="100" s="1"/>
  <c r="G15" i="100" s="1"/>
  <c r="G16" i="100" s="1"/>
  <c r="G17" i="100" s="1"/>
  <c r="G18" i="100" s="1"/>
  <c r="G19" i="100" s="1"/>
  <c r="G20" i="100" s="1"/>
  <c r="G21" i="100" s="1"/>
  <c r="E9" i="100"/>
  <c r="E10" i="100" s="1"/>
  <c r="E11" i="100" s="1"/>
  <c r="E12" i="100" s="1"/>
  <c r="E13" i="100" s="1"/>
  <c r="E14" i="100" s="1"/>
  <c r="E15" i="100" s="1"/>
  <c r="E16" i="100" s="1"/>
  <c r="E17" i="100" s="1"/>
  <c r="E18" i="100" s="1"/>
  <c r="E19" i="100" s="1"/>
  <c r="E20" i="100" s="1"/>
  <c r="E21" i="100" s="1"/>
  <c r="A6" i="100"/>
  <c r="D3" i="100"/>
  <c r="A3" i="100"/>
  <c r="A2" i="100"/>
  <c r="A1" i="100"/>
  <c r="H24" i="99"/>
  <c r="C8" i="98" s="1"/>
  <c r="C15" i="98" s="1"/>
  <c r="G24" i="99"/>
  <c r="C24" i="99"/>
  <c r="A6" i="99"/>
  <c r="D3" i="99"/>
  <c r="A3" i="99"/>
  <c r="A2" i="99"/>
  <c r="A1" i="99"/>
  <c r="F23" i="97"/>
  <c r="E18" i="18" s="1"/>
  <c r="D23" i="97"/>
  <c r="D18" i="18"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F74" i="96"/>
  <c r="D74" i="96"/>
  <c r="H73" i="96"/>
  <c r="H72" i="96"/>
  <c r="H71" i="96"/>
  <c r="F44" i="96"/>
  <c r="D44" i="96"/>
  <c r="H43" i="96"/>
  <c r="H42" i="96"/>
  <c r="H41" i="96"/>
  <c r="F38" i="96"/>
  <c r="D38" i="96"/>
  <c r="H37" i="96"/>
  <c r="H36" i="96"/>
  <c r="H35" i="96"/>
  <c r="F68" i="96"/>
  <c r="D68" i="96"/>
  <c r="H67" i="96"/>
  <c r="H66" i="96"/>
  <c r="H65" i="96"/>
  <c r="F62" i="96"/>
  <c r="D62" i="96"/>
  <c r="H61" i="96"/>
  <c r="H60" i="96"/>
  <c r="H59" i="96"/>
  <c r="F56" i="96"/>
  <c r="D56" i="96"/>
  <c r="H55" i="96"/>
  <c r="H54" i="96"/>
  <c r="H53" i="96"/>
  <c r="F50" i="96"/>
  <c r="D50" i="96"/>
  <c r="H49" i="96"/>
  <c r="H48" i="96"/>
  <c r="H47" i="96"/>
  <c r="D32" i="96"/>
  <c r="H30" i="96"/>
  <c r="H29" i="96"/>
  <c r="H28" i="96"/>
  <c r="F23" i="96"/>
  <c r="E17" i="18" s="1"/>
  <c r="D23" i="96"/>
  <c r="G10" i="96"/>
  <c r="G11" i="96" s="1"/>
  <c r="G12" i="96" s="1"/>
  <c r="G13" i="96" s="1"/>
  <c r="G14" i="96" s="1"/>
  <c r="G15" i="96" s="1"/>
  <c r="G16" i="96" s="1"/>
  <c r="G17" i="96" s="1"/>
  <c r="G18" i="96" s="1"/>
  <c r="G19" i="96" s="1"/>
  <c r="G20" i="96" s="1"/>
  <c r="G21" i="96" s="1"/>
  <c r="E9" i="96"/>
  <c r="A6" i="96"/>
  <c r="D3" i="96"/>
  <c r="A3" i="96"/>
  <c r="A2" i="96"/>
  <c r="A1" i="96"/>
  <c r="G18" i="32"/>
  <c r="G17" i="54"/>
  <c r="G16" i="54"/>
  <c r="G15" i="75"/>
  <c r="G14" i="75"/>
  <c r="G21" i="26"/>
  <c r="G20" i="26"/>
  <c r="G15" i="47"/>
  <c r="G15" i="62"/>
  <c r="G14" i="62"/>
  <c r="G21" i="21"/>
  <c r="G20" i="21"/>
  <c r="G22" i="95"/>
  <c r="E12" i="91" s="1"/>
  <c r="H9" i="95"/>
  <c r="H10" i="95" s="1"/>
  <c r="H11" i="95" s="1"/>
  <c r="H12" i="95" s="1"/>
  <c r="H13" i="95" s="1"/>
  <c r="H14" i="95" s="1"/>
  <c r="H15" i="95" s="1"/>
  <c r="H16" i="95" s="1"/>
  <c r="H17" i="95" s="1"/>
  <c r="H18" i="95" s="1"/>
  <c r="H19" i="95" s="1"/>
  <c r="H20" i="95" s="1"/>
  <c r="A6" i="95"/>
  <c r="E3" i="95"/>
  <c r="A3" i="95"/>
  <c r="A2" i="95"/>
  <c r="A1" i="95"/>
  <c r="E44" i="94"/>
  <c r="D11" i="91" s="1"/>
  <c r="F9" i="94"/>
  <c r="A6" i="94"/>
  <c r="E3" i="94"/>
  <c r="A3" i="94"/>
  <c r="A2" i="94"/>
  <c r="A1" i="94"/>
  <c r="F23" i="93"/>
  <c r="E10" i="91" s="1"/>
  <c r="D23" i="93"/>
  <c r="G10" i="93"/>
  <c r="G11" i="93" s="1"/>
  <c r="G12" i="93" s="1"/>
  <c r="G13" i="93" s="1"/>
  <c r="G14" i="93" s="1"/>
  <c r="G15" i="93" s="1"/>
  <c r="G16" i="93" s="1"/>
  <c r="G17" i="93" s="1"/>
  <c r="G18" i="93" s="1"/>
  <c r="G19" i="93" s="1"/>
  <c r="G20" i="93" s="1"/>
  <c r="G21" i="93" s="1"/>
  <c r="E9" i="93"/>
  <c r="H9" i="93" s="1"/>
  <c r="H10" i="93" s="1"/>
  <c r="H11" i="93" s="1"/>
  <c r="H12" i="93" s="1"/>
  <c r="H13" i="93" s="1"/>
  <c r="H14" i="93" s="1"/>
  <c r="H15" i="93" s="1"/>
  <c r="H16" i="93" s="1"/>
  <c r="H17" i="93" s="1"/>
  <c r="H18" i="93" s="1"/>
  <c r="H19" i="93" s="1"/>
  <c r="H20" i="93" s="1"/>
  <c r="H21" i="93" s="1"/>
  <c r="A6" i="93"/>
  <c r="D3" i="93"/>
  <c r="A3" i="93"/>
  <c r="A2" i="93"/>
  <c r="A1" i="93"/>
  <c r="H24" i="92"/>
  <c r="C8" i="91" s="1"/>
  <c r="C17" i="91" s="1"/>
  <c r="F26" i="17" s="1"/>
  <c r="G26" i="17" s="1"/>
  <c r="G24" i="92"/>
  <c r="C24" i="92"/>
  <c r="A6" i="92"/>
  <c r="D3" i="92"/>
  <c r="A3" i="92"/>
  <c r="A2" i="92"/>
  <c r="A1" i="92"/>
  <c r="G22" i="90"/>
  <c r="H9" i="90"/>
  <c r="H10" i="90" s="1"/>
  <c r="H11" i="90" s="1"/>
  <c r="H12" i="90" s="1"/>
  <c r="H13" i="90" s="1"/>
  <c r="H14" i="90" s="1"/>
  <c r="H15" i="90" s="1"/>
  <c r="H16" i="90" s="1"/>
  <c r="H17" i="90" s="1"/>
  <c r="H18" i="90" s="1"/>
  <c r="H19" i="90" s="1"/>
  <c r="H20" i="90" s="1"/>
  <c r="A6" i="90"/>
  <c r="E3" i="90"/>
  <c r="A3" i="90"/>
  <c r="A2" i="90"/>
  <c r="A1" i="90"/>
  <c r="G23" i="89"/>
  <c r="E11" i="86"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6" i="89"/>
  <c r="E3" i="89"/>
  <c r="A3" i="89"/>
  <c r="A2" i="89"/>
  <c r="A1" i="89"/>
  <c r="F23" i="88"/>
  <c r="E10" i="86"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H24" i="87"/>
  <c r="G24" i="87"/>
  <c r="C24" i="87"/>
  <c r="A6" i="87"/>
  <c r="D3" i="87"/>
  <c r="A3" i="87"/>
  <c r="A2" i="87"/>
  <c r="A1" i="87"/>
  <c r="C14" i="86"/>
  <c r="H28" i="85"/>
  <c r="H29" i="85"/>
  <c r="H30" i="85"/>
  <c r="H27" i="85"/>
  <c r="F23" i="85"/>
  <c r="E16" i="18" s="1"/>
  <c r="D23" i="85"/>
  <c r="D16" i="18" s="1"/>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F26" i="67"/>
  <c r="H26" i="67" s="1"/>
  <c r="F28" i="49"/>
  <c r="F27" i="49"/>
  <c r="H27" i="49" s="1"/>
  <c r="G22" i="84"/>
  <c r="E12" i="80" s="1"/>
  <c r="H9" i="84"/>
  <c r="H10" i="84" s="1"/>
  <c r="H11" i="84" s="1"/>
  <c r="H12" i="84" s="1"/>
  <c r="H13" i="84" s="1"/>
  <c r="H14" i="84" s="1"/>
  <c r="H15" i="84" s="1"/>
  <c r="H16" i="84" s="1"/>
  <c r="H17" i="84" s="1"/>
  <c r="H18" i="84" s="1"/>
  <c r="H19" i="84" s="1"/>
  <c r="H20" i="84" s="1"/>
  <c r="A6" i="84"/>
  <c r="E3" i="84"/>
  <c r="A3" i="84"/>
  <c r="A2" i="84"/>
  <c r="A1" i="84"/>
  <c r="E44" i="83"/>
  <c r="F9" i="83"/>
  <c r="I9" i="83" s="1"/>
  <c r="A6" i="83"/>
  <c r="E3" i="83"/>
  <c r="A3" i="83"/>
  <c r="A2" i="83"/>
  <c r="A1" i="83"/>
  <c r="F23" i="82"/>
  <c r="D23" i="82"/>
  <c r="D10" i="80" s="1"/>
  <c r="G10" i="82"/>
  <c r="G11" i="82" s="1"/>
  <c r="G12" i="82" s="1"/>
  <c r="G13" i="82" s="1"/>
  <c r="G14" i="82" s="1"/>
  <c r="G15" i="82" s="1"/>
  <c r="G16" i="82" s="1"/>
  <c r="G17" i="82" s="1"/>
  <c r="G18" i="82" s="1"/>
  <c r="G19" i="82" s="1"/>
  <c r="G20" i="82" s="1"/>
  <c r="G21" i="82" s="1"/>
  <c r="E9" i="82"/>
  <c r="D3" i="82"/>
  <c r="G24" i="81"/>
  <c r="C24" i="81"/>
  <c r="A6" i="81"/>
  <c r="D3" i="81"/>
  <c r="A3" i="81"/>
  <c r="A2" i="81"/>
  <c r="A1" i="81"/>
  <c r="F35" i="71"/>
  <c r="H35" i="71" s="1"/>
  <c r="F40" i="20"/>
  <c r="H40" i="20" s="1"/>
  <c r="F34" i="20"/>
  <c r="H34" i="20" s="1"/>
  <c r="F28" i="20"/>
  <c r="G15" i="54"/>
  <c r="G14" i="54"/>
  <c r="G17" i="32"/>
  <c r="G16" i="32"/>
  <c r="G13" i="75"/>
  <c r="G12" i="75"/>
  <c r="G19" i="26"/>
  <c r="G18" i="26"/>
  <c r="G19" i="21"/>
  <c r="G18" i="21"/>
  <c r="H34" i="56"/>
  <c r="F27" i="53"/>
  <c r="H27" i="53" s="1"/>
  <c r="H26" i="79"/>
  <c r="F23" i="79"/>
  <c r="E13" i="72" s="1"/>
  <c r="D23" i="79"/>
  <c r="D13" i="72" s="1"/>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G13" i="54"/>
  <c r="G12" i="54"/>
  <c r="G15" i="32"/>
  <c r="G14" i="32"/>
  <c r="G11" i="75"/>
  <c r="G10" i="75"/>
  <c r="H10" i="75" s="1"/>
  <c r="G17" i="26"/>
  <c r="G16" i="26"/>
  <c r="G13" i="62"/>
  <c r="G12" i="62"/>
  <c r="G17" i="21"/>
  <c r="G16" i="21"/>
  <c r="A1" i="78"/>
  <c r="H30" i="78"/>
  <c r="H29" i="78"/>
  <c r="F26" i="78"/>
  <c r="E14" i="29" s="1"/>
  <c r="D26" i="78"/>
  <c r="D14" i="29" s="1"/>
  <c r="G10" i="78"/>
  <c r="G11" i="78" s="1"/>
  <c r="G12" i="78" s="1"/>
  <c r="G13" i="78" s="1"/>
  <c r="G14" i="78" s="1"/>
  <c r="G15" i="78" s="1"/>
  <c r="G16" i="78" s="1"/>
  <c r="G17" i="78" s="1"/>
  <c r="G18" i="78" s="1"/>
  <c r="G19" i="78" s="1"/>
  <c r="G20" i="78" s="1"/>
  <c r="G21" i="78" s="1"/>
  <c r="G22" i="78" s="1"/>
  <c r="G23" i="78" s="1"/>
  <c r="G24" i="78" s="1"/>
  <c r="E9" i="78"/>
  <c r="H9" i="78" s="1"/>
  <c r="H10" i="78" s="1"/>
  <c r="H11" i="78" s="1"/>
  <c r="H12" i="78" s="1"/>
  <c r="H13" i="78" s="1"/>
  <c r="H14" i="78" s="1"/>
  <c r="H15" i="78" s="1"/>
  <c r="H16" i="78" s="1"/>
  <c r="H17" i="78" s="1"/>
  <c r="H18" i="78" s="1"/>
  <c r="H19" i="78" s="1"/>
  <c r="H20" i="78" s="1"/>
  <c r="H21" i="78" s="1"/>
  <c r="H22" i="78" s="1"/>
  <c r="H23" i="78" s="1"/>
  <c r="H24" i="78" s="1"/>
  <c r="A6" i="78"/>
  <c r="D3" i="78"/>
  <c r="A3" i="78"/>
  <c r="A2" i="78"/>
  <c r="D28" i="74"/>
  <c r="H27" i="74"/>
  <c r="E9" i="74"/>
  <c r="H9" i="74" s="1"/>
  <c r="H10" i="74" s="1"/>
  <c r="H11" i="74" s="1"/>
  <c r="H12" i="74" s="1"/>
  <c r="H13" i="74" s="1"/>
  <c r="H14" i="74" s="1"/>
  <c r="H15" i="74" s="1"/>
  <c r="H16" i="74" s="1"/>
  <c r="H17" i="74" s="1"/>
  <c r="H18" i="74" s="1"/>
  <c r="H19" i="74" s="1"/>
  <c r="H20" i="74" s="1"/>
  <c r="H21" i="74" s="1"/>
  <c r="G10" i="74"/>
  <c r="G11" i="74" s="1"/>
  <c r="G12" i="74" s="1"/>
  <c r="G13" i="74" s="1"/>
  <c r="G14" i="74" s="1"/>
  <c r="G15" i="74" s="1"/>
  <c r="G16" i="74" s="1"/>
  <c r="G17" i="74" s="1"/>
  <c r="G18" i="74" s="1"/>
  <c r="G19" i="74" s="1"/>
  <c r="G20" i="74" s="1"/>
  <c r="G21" i="74" s="1"/>
  <c r="I12" i="46"/>
  <c r="I13" i="46" s="1"/>
  <c r="I14" i="46" s="1"/>
  <c r="I15" i="46" s="1"/>
  <c r="I17" i="46" s="1"/>
  <c r="I18" i="46" s="1"/>
  <c r="F39" i="20"/>
  <c r="H39" i="20" s="1"/>
  <c r="F33" i="20"/>
  <c r="H33" i="20" s="1"/>
  <c r="H35" i="77"/>
  <c r="H37" i="77"/>
  <c r="H33" i="77"/>
  <c r="F30" i="77"/>
  <c r="E13" i="29" s="1"/>
  <c r="G10" i="77"/>
  <c r="G11" i="77" s="1"/>
  <c r="G12" i="77" s="1"/>
  <c r="G13" i="77" s="1"/>
  <c r="G14" i="77" s="1"/>
  <c r="G15" i="77" s="1"/>
  <c r="G16" i="77" s="1"/>
  <c r="G17" i="77" s="1"/>
  <c r="G18" i="77" s="1"/>
  <c r="G19" i="77" s="1"/>
  <c r="G20" i="77" s="1"/>
  <c r="G21" i="77" s="1"/>
  <c r="G22" i="77" s="1"/>
  <c r="G23" i="77" s="1"/>
  <c r="G24" i="77" s="1"/>
  <c r="G25" i="77" s="1"/>
  <c r="G26" i="77" s="1"/>
  <c r="G27" i="77" s="1"/>
  <c r="G28" i="77" s="1"/>
  <c r="E9" i="77"/>
  <c r="H9" i="77" s="1"/>
  <c r="H10" i="77" s="1"/>
  <c r="H11" i="77" s="1"/>
  <c r="H12" i="77" s="1"/>
  <c r="H13" i="77" s="1"/>
  <c r="H14" i="77" s="1"/>
  <c r="H15" i="77" s="1"/>
  <c r="H16" i="77" s="1"/>
  <c r="H17" i="77" s="1"/>
  <c r="H18" i="77" s="1"/>
  <c r="H19" i="77" s="1"/>
  <c r="H20" i="77" s="1"/>
  <c r="H21" i="77" s="1"/>
  <c r="H22" i="77" s="1"/>
  <c r="H23" i="77" s="1"/>
  <c r="H24" i="77" s="1"/>
  <c r="H25" i="77" s="1"/>
  <c r="H26" i="77" s="1"/>
  <c r="H27" i="77" s="1"/>
  <c r="H28" i="77" s="1"/>
  <c r="A6" i="77"/>
  <c r="D3" i="77"/>
  <c r="A3" i="77"/>
  <c r="A2" i="77"/>
  <c r="A1" i="77"/>
  <c r="G22" i="76"/>
  <c r="D12" i="72" s="1"/>
  <c r="H9" i="76"/>
  <c r="H10" i="76" s="1"/>
  <c r="H11" i="76" s="1"/>
  <c r="H12" i="76" s="1"/>
  <c r="H13" i="76" s="1"/>
  <c r="H14" i="76" s="1"/>
  <c r="H15" i="76" s="1"/>
  <c r="H16" i="76" s="1"/>
  <c r="H17" i="76" s="1"/>
  <c r="H18" i="76" s="1"/>
  <c r="H19" i="76" s="1"/>
  <c r="H20" i="76" s="1"/>
  <c r="A6" i="76"/>
  <c r="E3" i="76"/>
  <c r="A3" i="76"/>
  <c r="A2" i="76"/>
  <c r="A1" i="76"/>
  <c r="F9" i="75"/>
  <c r="I9" i="75" s="1"/>
  <c r="A6" i="75"/>
  <c r="E3" i="75"/>
  <c r="A3" i="75"/>
  <c r="A2" i="75"/>
  <c r="A1" i="75"/>
  <c r="F23" i="74"/>
  <c r="D23" i="74"/>
  <c r="D10" i="72" s="1"/>
  <c r="A6" i="74"/>
  <c r="D3" i="74"/>
  <c r="A3" i="74"/>
  <c r="A2" i="74"/>
  <c r="A1" i="74"/>
  <c r="H24" i="73"/>
  <c r="C8" i="72" s="1"/>
  <c r="C17" i="72" s="1"/>
  <c r="F23" i="17" s="1"/>
  <c r="G23" i="17" s="1"/>
  <c r="G24" i="73"/>
  <c r="C24" i="73"/>
  <c r="A6" i="73"/>
  <c r="D3" i="73"/>
  <c r="A3" i="73"/>
  <c r="A2" i="73"/>
  <c r="A1" i="73"/>
  <c r="G11" i="54"/>
  <c r="G10" i="54"/>
  <c r="G13" i="32"/>
  <c r="G12" i="32"/>
  <c r="G15" i="26"/>
  <c r="G14" i="26"/>
  <c r="G12" i="47"/>
  <c r="G21" i="47" s="1"/>
  <c r="E11" i="44" s="1"/>
  <c r="G11" i="62"/>
  <c r="G10" i="62"/>
  <c r="H10" i="62" s="1"/>
  <c r="G15" i="21"/>
  <c r="G14" i="21"/>
  <c r="F27" i="25"/>
  <c r="F26" i="25"/>
  <c r="H26" i="25" s="1"/>
  <c r="D38" i="71"/>
  <c r="D32" i="71"/>
  <c r="H31" i="71"/>
  <c r="F25" i="71"/>
  <c r="D25" i="71"/>
  <c r="G10" i="71"/>
  <c r="G11" i="71" s="1"/>
  <c r="G12" i="71" s="1"/>
  <c r="G13" i="71" s="1"/>
  <c r="G14" i="71" s="1"/>
  <c r="G15" i="71" s="1"/>
  <c r="G16" i="71" s="1"/>
  <c r="G17" i="71" s="1"/>
  <c r="G18" i="71" s="1"/>
  <c r="G19" i="71" s="1"/>
  <c r="G20" i="71" s="1"/>
  <c r="G21" i="71" s="1"/>
  <c r="G22" i="71" s="1"/>
  <c r="G23" i="71" s="1"/>
  <c r="E9" i="71"/>
  <c r="H9" i="71" s="1"/>
  <c r="H10" i="71" s="1"/>
  <c r="H11" i="71" s="1"/>
  <c r="H12" i="71" s="1"/>
  <c r="H13" i="71" s="1"/>
  <c r="H14" i="71" s="1"/>
  <c r="H15" i="71" s="1"/>
  <c r="H16" i="71" s="1"/>
  <c r="H17" i="71" s="1"/>
  <c r="H18" i="71" s="1"/>
  <c r="H19" i="71" s="1"/>
  <c r="H20" i="71" s="1"/>
  <c r="H21" i="71" s="1"/>
  <c r="H22" i="71" s="1"/>
  <c r="H23" i="71" s="1"/>
  <c r="A6" i="71"/>
  <c r="D3" i="71"/>
  <c r="A3" i="71"/>
  <c r="A2" i="71"/>
  <c r="A1" i="71"/>
  <c r="F23" i="69"/>
  <c r="E14" i="23" s="1"/>
  <c r="D23" i="69"/>
  <c r="D14" i="23" s="1"/>
  <c r="G10" i="69"/>
  <c r="G11" i="69" s="1"/>
  <c r="G12" i="69" s="1"/>
  <c r="G13" i="69" s="1"/>
  <c r="G14" i="69" s="1"/>
  <c r="G15" i="69" s="1"/>
  <c r="G16" i="69" s="1"/>
  <c r="G17" i="69" s="1"/>
  <c r="G18" i="69" s="1"/>
  <c r="G19" i="69" s="1"/>
  <c r="G20" i="69" s="1"/>
  <c r="G21" i="69" s="1"/>
  <c r="E9" i="69"/>
  <c r="H9" i="69" s="1"/>
  <c r="H10" i="69" s="1"/>
  <c r="H11" i="69" s="1"/>
  <c r="H12" i="69" s="1"/>
  <c r="H13" i="69" s="1"/>
  <c r="H14" i="69" s="1"/>
  <c r="H15" i="69" s="1"/>
  <c r="H16" i="69" s="1"/>
  <c r="H17" i="69" s="1"/>
  <c r="H18" i="69" s="1"/>
  <c r="H19" i="69" s="1"/>
  <c r="H20" i="69" s="1"/>
  <c r="H21" i="69" s="1"/>
  <c r="A6" i="69"/>
  <c r="D3" i="69"/>
  <c r="A3" i="69"/>
  <c r="A2" i="69"/>
  <c r="A1" i="69"/>
  <c r="F23" i="68"/>
  <c r="D23" i="68"/>
  <c r="D13" i="23" s="1"/>
  <c r="G10" i="68"/>
  <c r="G11" i="68" s="1"/>
  <c r="G12" i="68" s="1"/>
  <c r="G13" i="68" s="1"/>
  <c r="G14" i="68" s="1"/>
  <c r="G15" i="68" s="1"/>
  <c r="G16" i="68" s="1"/>
  <c r="G17" i="68" s="1"/>
  <c r="G18" i="68" s="1"/>
  <c r="G19" i="68" s="1"/>
  <c r="G20" i="68" s="1"/>
  <c r="G21" i="68" s="1"/>
  <c r="E9" i="68"/>
  <c r="H9" i="68" s="1"/>
  <c r="H10" i="68" s="1"/>
  <c r="H11" i="68" s="1"/>
  <c r="H12" i="68" s="1"/>
  <c r="H13" i="68" s="1"/>
  <c r="H14" i="68" s="1"/>
  <c r="H15" i="68" s="1"/>
  <c r="H16" i="68" s="1"/>
  <c r="H17" i="68" s="1"/>
  <c r="H18" i="68" s="1"/>
  <c r="H19" i="68" s="1"/>
  <c r="H20" i="68" s="1"/>
  <c r="H21" i="68" s="1"/>
  <c r="A6" i="68"/>
  <c r="D3" i="68"/>
  <c r="A3" i="68"/>
  <c r="A2" i="68"/>
  <c r="A1" i="68"/>
  <c r="D30" i="67"/>
  <c r="F23" i="67"/>
  <c r="E13" i="51" s="1"/>
  <c r="D23" i="67"/>
  <c r="D13" i="51" s="1"/>
  <c r="G10" i="67"/>
  <c r="G11" i="67" s="1"/>
  <c r="G12" i="67" s="1"/>
  <c r="G13" i="67" s="1"/>
  <c r="G14" i="67" s="1"/>
  <c r="G15" i="67" s="1"/>
  <c r="G16" i="67" s="1"/>
  <c r="G17" i="67" s="1"/>
  <c r="G18" i="67" s="1"/>
  <c r="G19" i="67" s="1"/>
  <c r="G20" i="67" s="1"/>
  <c r="G21" i="67" s="1"/>
  <c r="E9" i="67"/>
  <c r="E10" i="67" s="1"/>
  <c r="E11" i="67" s="1"/>
  <c r="E12" i="67" s="1"/>
  <c r="E13" i="67" s="1"/>
  <c r="E14" i="67" s="1"/>
  <c r="E15" i="67" s="1"/>
  <c r="E16" i="67" s="1"/>
  <c r="E17" i="67" s="1"/>
  <c r="E18" i="67" s="1"/>
  <c r="E19" i="67" s="1"/>
  <c r="E20" i="67" s="1"/>
  <c r="E21" i="67" s="1"/>
  <c r="A6" i="67"/>
  <c r="D3" i="67"/>
  <c r="A3" i="67"/>
  <c r="A2" i="67"/>
  <c r="A1" i="67"/>
  <c r="H26" i="66"/>
  <c r="G26" i="66"/>
  <c r="C26" i="66"/>
  <c r="A6" i="66"/>
  <c r="D3" i="66"/>
  <c r="A3" i="66"/>
  <c r="A2" i="66"/>
  <c r="A1" i="66"/>
  <c r="G11" i="32"/>
  <c r="G10" i="32"/>
  <c r="H10" i="32" s="1"/>
  <c r="G13" i="26"/>
  <c r="G12" i="26"/>
  <c r="G13" i="21"/>
  <c r="G12" i="21"/>
  <c r="H72" i="65"/>
  <c r="H69" i="65"/>
  <c r="H60" i="65"/>
  <c r="H45" i="65"/>
  <c r="H28" i="65"/>
  <c r="F23" i="65"/>
  <c r="E14" i="18" s="1"/>
  <c r="D23" i="65"/>
  <c r="D14" i="18" s="1"/>
  <c r="G10" i="65"/>
  <c r="G11" i="65" s="1"/>
  <c r="G12" i="65" s="1"/>
  <c r="G13" i="65" s="1"/>
  <c r="G14" i="65" s="1"/>
  <c r="G15" i="65" s="1"/>
  <c r="G16" i="65" s="1"/>
  <c r="G17" i="65" s="1"/>
  <c r="G18" i="65" s="1"/>
  <c r="G19" i="65" s="1"/>
  <c r="G20" i="65" s="1"/>
  <c r="G21" i="65" s="1"/>
  <c r="E9" i="65"/>
  <c r="H9" i="65" s="1"/>
  <c r="H10" i="65" s="1"/>
  <c r="H11" i="65" s="1"/>
  <c r="H12" i="65" s="1"/>
  <c r="H13" i="65" s="1"/>
  <c r="H14" i="65" s="1"/>
  <c r="H15" i="65" s="1"/>
  <c r="H16" i="65" s="1"/>
  <c r="H17" i="65" s="1"/>
  <c r="H18" i="65" s="1"/>
  <c r="H19" i="65" s="1"/>
  <c r="H20" i="65" s="1"/>
  <c r="H21" i="65" s="1"/>
  <c r="A6" i="65"/>
  <c r="D3" i="65"/>
  <c r="A3" i="65"/>
  <c r="A2" i="65"/>
  <c r="A1" i="65"/>
  <c r="F36" i="64"/>
  <c r="D36" i="64"/>
  <c r="D13" i="18" s="1"/>
  <c r="G10" i="64"/>
  <c r="G11" i="64" s="1"/>
  <c r="G12" i="64" s="1"/>
  <c r="G13" i="64" s="1"/>
  <c r="G14" i="64" s="1"/>
  <c r="G15" i="64" s="1"/>
  <c r="G16" i="64" s="1"/>
  <c r="G17" i="64" s="1"/>
  <c r="G18" i="64" s="1"/>
  <c r="G19" i="64" s="1"/>
  <c r="G20" i="64" s="1"/>
  <c r="G21" i="64" s="1"/>
  <c r="G22" i="64" s="1"/>
  <c r="G23" i="64" s="1"/>
  <c r="G24" i="64" s="1"/>
  <c r="G25" i="64" s="1"/>
  <c r="G26" i="64" s="1"/>
  <c r="G27" i="64" s="1"/>
  <c r="G28" i="64" s="1"/>
  <c r="G29" i="64" s="1"/>
  <c r="G30" i="64" s="1"/>
  <c r="G31" i="64" s="1"/>
  <c r="G32" i="64" s="1"/>
  <c r="G33" i="64" s="1"/>
  <c r="G34" i="64" s="1"/>
  <c r="E9" i="64"/>
  <c r="E10" i="64" s="1"/>
  <c r="E11" i="64" s="1"/>
  <c r="E12" i="64" s="1"/>
  <c r="E13" i="64" s="1"/>
  <c r="E14" i="64" s="1"/>
  <c r="E15" i="64" s="1"/>
  <c r="E16" i="64" s="1"/>
  <c r="E17" i="64" s="1"/>
  <c r="E18" i="64" s="1"/>
  <c r="E19" i="64" s="1"/>
  <c r="E20" i="64" s="1"/>
  <c r="E21" i="64" s="1"/>
  <c r="E22" i="64" s="1"/>
  <c r="E23" i="64" s="1"/>
  <c r="E24" i="64" s="1"/>
  <c r="E25" i="64" s="1"/>
  <c r="E26" i="64" s="1"/>
  <c r="E27" i="64" s="1"/>
  <c r="E28" i="64" s="1"/>
  <c r="E29" i="64" s="1"/>
  <c r="E30" i="64" s="1"/>
  <c r="E31" i="64" s="1"/>
  <c r="E32" i="64" s="1"/>
  <c r="E33" i="64" s="1"/>
  <c r="E34" i="64" s="1"/>
  <c r="A6" i="64"/>
  <c r="D3" i="64"/>
  <c r="A3" i="64"/>
  <c r="A2" i="64"/>
  <c r="A1" i="64"/>
  <c r="G22" i="63"/>
  <c r="E12" i="59" s="1"/>
  <c r="H9" i="63"/>
  <c r="H10" i="63" s="1"/>
  <c r="H11" i="63" s="1"/>
  <c r="H12" i="63" s="1"/>
  <c r="H13" i="63" s="1"/>
  <c r="H14" i="63" s="1"/>
  <c r="H15" i="63" s="1"/>
  <c r="H16" i="63" s="1"/>
  <c r="H17" i="63" s="1"/>
  <c r="H18" i="63" s="1"/>
  <c r="H19" i="63" s="1"/>
  <c r="H20" i="63" s="1"/>
  <c r="A6" i="63"/>
  <c r="E3" i="63"/>
  <c r="A3" i="63"/>
  <c r="A2" i="63"/>
  <c r="A1" i="63"/>
  <c r="A6" i="62"/>
  <c r="E3" i="62"/>
  <c r="A3" i="62"/>
  <c r="A2" i="62"/>
  <c r="A1" i="62"/>
  <c r="F23" i="61"/>
  <c r="D23" i="61"/>
  <c r="G10" i="61"/>
  <c r="G11" i="61" s="1"/>
  <c r="G12" i="61" s="1"/>
  <c r="G13" i="61" s="1"/>
  <c r="G14" i="61" s="1"/>
  <c r="G15" i="61" s="1"/>
  <c r="G16" i="61" s="1"/>
  <c r="G17" i="61" s="1"/>
  <c r="G18" i="61" s="1"/>
  <c r="G19" i="61" s="1"/>
  <c r="G20" i="61" s="1"/>
  <c r="G21" i="61" s="1"/>
  <c r="E9" i="61"/>
  <c r="H9" i="61" s="1"/>
  <c r="H10" i="61" s="1"/>
  <c r="H11" i="61" s="1"/>
  <c r="H12" i="61" s="1"/>
  <c r="H13" i="61" s="1"/>
  <c r="H14" i="61" s="1"/>
  <c r="H15" i="61" s="1"/>
  <c r="H16" i="61" s="1"/>
  <c r="H17" i="61" s="1"/>
  <c r="H18" i="61" s="1"/>
  <c r="H19" i="61" s="1"/>
  <c r="H20" i="61" s="1"/>
  <c r="H21" i="61" s="1"/>
  <c r="A6" i="61"/>
  <c r="D3" i="61"/>
  <c r="A3" i="61"/>
  <c r="A2" i="61"/>
  <c r="A1" i="61"/>
  <c r="H24" i="60"/>
  <c r="C8" i="59" s="1"/>
  <c r="C14" i="59" s="1"/>
  <c r="G24" i="60"/>
  <c r="C24" i="60"/>
  <c r="A6" i="60"/>
  <c r="D3" i="60"/>
  <c r="A3" i="60"/>
  <c r="A2" i="60"/>
  <c r="A1" i="60"/>
  <c r="D42" i="20"/>
  <c r="D36" i="20"/>
  <c r="D30" i="20"/>
  <c r="H29" i="20"/>
  <c r="H27" i="20"/>
  <c r="A6" i="58"/>
  <c r="D3" i="58"/>
  <c r="A3" i="58"/>
  <c r="A2" i="58"/>
  <c r="A1" i="58"/>
  <c r="F23" i="58"/>
  <c r="E15" i="44" s="1"/>
  <c r="D23" i="58"/>
  <c r="G10" i="58"/>
  <c r="G11" i="58" s="1"/>
  <c r="G12" i="58" s="1"/>
  <c r="G13" i="58" s="1"/>
  <c r="G14" i="58" s="1"/>
  <c r="G15" i="58" s="1"/>
  <c r="G16" i="58" s="1"/>
  <c r="G17" i="58" s="1"/>
  <c r="G18" i="58" s="1"/>
  <c r="G19" i="58" s="1"/>
  <c r="G20" i="58" s="1"/>
  <c r="G21" i="58" s="1"/>
  <c r="E9" i="58"/>
  <c r="E10" i="58" s="1"/>
  <c r="E11" i="58" s="1"/>
  <c r="E12" i="58" s="1"/>
  <c r="E13" i="58" s="1"/>
  <c r="E14" i="58" s="1"/>
  <c r="E15" i="58" s="1"/>
  <c r="E16" i="58" s="1"/>
  <c r="E17" i="58" s="1"/>
  <c r="E18" i="58" s="1"/>
  <c r="E19" i="58" s="1"/>
  <c r="E20" i="58" s="1"/>
  <c r="E21" i="58" s="1"/>
  <c r="F23" i="57"/>
  <c r="D23" i="57"/>
  <c r="G10" i="57"/>
  <c r="G11" i="57" s="1"/>
  <c r="G12" i="57" s="1"/>
  <c r="G13" i="57" s="1"/>
  <c r="G14" i="57" s="1"/>
  <c r="G15" i="57" s="1"/>
  <c r="G16" i="57" s="1"/>
  <c r="G17" i="57" s="1"/>
  <c r="G18" i="57" s="1"/>
  <c r="G19" i="57" s="1"/>
  <c r="G20" i="57" s="1"/>
  <c r="G21" i="57" s="1"/>
  <c r="E9" i="57"/>
  <c r="A6" i="57"/>
  <c r="D3" i="57"/>
  <c r="A3" i="57"/>
  <c r="A2" i="57"/>
  <c r="A1" i="57"/>
  <c r="H33" i="56"/>
  <c r="H32" i="56"/>
  <c r="F29" i="56"/>
  <c r="E14" i="34" s="1"/>
  <c r="D29" i="56"/>
  <c r="D14" i="34" s="1"/>
  <c r="G10" i="56"/>
  <c r="G11" i="56" s="1"/>
  <c r="G12" i="56" s="1"/>
  <c r="G13" i="56" s="1"/>
  <c r="G14" i="56" s="1"/>
  <c r="G15" i="56" s="1"/>
  <c r="G16" i="56" s="1"/>
  <c r="G17" i="56" s="1"/>
  <c r="G18" i="56" s="1"/>
  <c r="G19" i="56" s="1"/>
  <c r="G20" i="56" s="1"/>
  <c r="G21" i="56" s="1"/>
  <c r="G22" i="56" s="1"/>
  <c r="G23" i="56" s="1"/>
  <c r="G24" i="56" s="1"/>
  <c r="G25" i="56" s="1"/>
  <c r="G26" i="56" s="1"/>
  <c r="G27" i="56" s="1"/>
  <c r="E9" i="56"/>
  <c r="H9" i="56" s="1"/>
  <c r="H10" i="56" s="1"/>
  <c r="H11" i="56" s="1"/>
  <c r="H12" i="56" s="1"/>
  <c r="H13" i="56" s="1"/>
  <c r="H14" i="56" s="1"/>
  <c r="H15" i="56" s="1"/>
  <c r="H16" i="56" s="1"/>
  <c r="H17" i="56" s="1"/>
  <c r="H18" i="56" s="1"/>
  <c r="H19" i="56" s="1"/>
  <c r="H20" i="56" s="1"/>
  <c r="H21" i="56" s="1"/>
  <c r="H22" i="56" s="1"/>
  <c r="H23" i="56" s="1"/>
  <c r="H24" i="56" s="1"/>
  <c r="H25" i="56" s="1"/>
  <c r="H26" i="56" s="1"/>
  <c r="H27" i="56" s="1"/>
  <c r="A6" i="56"/>
  <c r="D3" i="56"/>
  <c r="A3" i="56"/>
  <c r="A2" i="56"/>
  <c r="A1" i="56"/>
  <c r="D29" i="25"/>
  <c r="H28" i="25"/>
  <c r="G22" i="55"/>
  <c r="E12" i="51" s="1"/>
  <c r="H9" i="55"/>
  <c r="H10" i="55" s="1"/>
  <c r="H11" i="55" s="1"/>
  <c r="H12" i="55" s="1"/>
  <c r="H13" i="55" s="1"/>
  <c r="H14" i="55" s="1"/>
  <c r="H15" i="55" s="1"/>
  <c r="H16" i="55" s="1"/>
  <c r="H17" i="55" s="1"/>
  <c r="H18" i="55" s="1"/>
  <c r="H19" i="55" s="1"/>
  <c r="H20" i="55" s="1"/>
  <c r="A6" i="55"/>
  <c r="E3" i="55"/>
  <c r="A3" i="55"/>
  <c r="A2" i="55"/>
  <c r="A1" i="55"/>
  <c r="E48" i="54"/>
  <c r="F9" i="54"/>
  <c r="F10" i="54" s="1"/>
  <c r="F11" i="54" s="1"/>
  <c r="F12" i="54" s="1"/>
  <c r="F13" i="54" s="1"/>
  <c r="F14" i="54" s="1"/>
  <c r="F15" i="54" s="1"/>
  <c r="F16" i="54" s="1"/>
  <c r="F17" i="54" s="1"/>
  <c r="F18" i="54" s="1"/>
  <c r="F19" i="54" s="1"/>
  <c r="F20" i="54" s="1"/>
  <c r="F21" i="54" s="1"/>
  <c r="F22" i="54" s="1"/>
  <c r="F23" i="54" s="1"/>
  <c r="F24" i="54" s="1"/>
  <c r="F25" i="54" s="1"/>
  <c r="F26" i="54" s="1"/>
  <c r="F27" i="54" s="1"/>
  <c r="F28" i="54" s="1"/>
  <c r="F29" i="54" s="1"/>
  <c r="F30" i="54" s="1"/>
  <c r="F31" i="54" s="1"/>
  <c r="F32" i="54" s="1"/>
  <c r="F33" i="54" s="1"/>
  <c r="F34" i="54" s="1"/>
  <c r="F35" i="54" s="1"/>
  <c r="F36" i="54" s="1"/>
  <c r="F37" i="54" s="1"/>
  <c r="F38" i="54" s="1"/>
  <c r="F39" i="54" s="1"/>
  <c r="F40" i="54" s="1"/>
  <c r="F41" i="54" s="1"/>
  <c r="F42" i="54" s="1"/>
  <c r="F43" i="54" s="1"/>
  <c r="F44" i="54" s="1"/>
  <c r="F45" i="54" s="1"/>
  <c r="F46" i="54" s="1"/>
  <c r="A6" i="54"/>
  <c r="E3" i="54"/>
  <c r="A3" i="54"/>
  <c r="A2" i="54"/>
  <c r="A1" i="54"/>
  <c r="F23" i="53"/>
  <c r="E10" i="51" s="1"/>
  <c r="D23" i="53"/>
  <c r="D10" i="51" s="1"/>
  <c r="G10" i="53"/>
  <c r="G11" i="53" s="1"/>
  <c r="G12" i="53" s="1"/>
  <c r="G13" i="53" s="1"/>
  <c r="G14" i="53" s="1"/>
  <c r="G15" i="53" s="1"/>
  <c r="G16" i="53" s="1"/>
  <c r="G17" i="53" s="1"/>
  <c r="G18" i="53" s="1"/>
  <c r="G19" i="53" s="1"/>
  <c r="G20" i="53" s="1"/>
  <c r="G21" i="53" s="1"/>
  <c r="E9" i="53"/>
  <c r="E10" i="53" s="1"/>
  <c r="E11" i="53" s="1"/>
  <c r="E12" i="53" s="1"/>
  <c r="E13" i="53" s="1"/>
  <c r="E14" i="53" s="1"/>
  <c r="E15" i="53" s="1"/>
  <c r="E16" i="53" s="1"/>
  <c r="E17" i="53" s="1"/>
  <c r="E18" i="53" s="1"/>
  <c r="E19" i="53" s="1"/>
  <c r="E20" i="53" s="1"/>
  <c r="E21" i="53" s="1"/>
  <c r="A6" i="53"/>
  <c r="D3" i="53"/>
  <c r="A3" i="53"/>
  <c r="A2" i="53"/>
  <c r="A1" i="53"/>
  <c r="H24" i="52"/>
  <c r="C8" i="51" s="1"/>
  <c r="C17" i="51" s="1"/>
  <c r="F25" i="17" s="1"/>
  <c r="G25" i="17" s="1"/>
  <c r="G24" i="52"/>
  <c r="C24" i="52"/>
  <c r="A6" i="52"/>
  <c r="D3" i="52"/>
  <c r="A3" i="52"/>
  <c r="A2" i="52"/>
  <c r="A1" i="52"/>
  <c r="E9" i="21"/>
  <c r="E58" i="21" s="1"/>
  <c r="D11" i="18" s="1"/>
  <c r="G11" i="26"/>
  <c r="G11" i="21"/>
  <c r="G10" i="26"/>
  <c r="H10" i="26" s="1"/>
  <c r="G10" i="21"/>
  <c r="F31" i="50"/>
  <c r="E13" i="34" s="1"/>
  <c r="D31" i="50"/>
  <c r="D13" i="34" s="1"/>
  <c r="G10" i="50"/>
  <c r="G11" i="50" s="1"/>
  <c r="G12" i="50" s="1"/>
  <c r="G13" i="50" s="1"/>
  <c r="G14" i="50" s="1"/>
  <c r="G15" i="50" s="1"/>
  <c r="G16" i="50" s="1"/>
  <c r="G17" i="50" s="1"/>
  <c r="G18" i="50" s="1"/>
  <c r="G19" i="50" s="1"/>
  <c r="G20" i="50" s="1"/>
  <c r="G21" i="50" s="1"/>
  <c r="G22" i="50" s="1"/>
  <c r="G23" i="50" s="1"/>
  <c r="G24" i="50" s="1"/>
  <c r="G25" i="50" s="1"/>
  <c r="G26" i="50" s="1"/>
  <c r="G27" i="50" s="1"/>
  <c r="G28" i="50" s="1"/>
  <c r="G29" i="50" s="1"/>
  <c r="E9" i="50"/>
  <c r="A6" i="50"/>
  <c r="D3" i="50"/>
  <c r="A3" i="50"/>
  <c r="A2" i="50"/>
  <c r="A1" i="50"/>
  <c r="F23" i="49"/>
  <c r="E13" i="44" s="1"/>
  <c r="D23" i="49"/>
  <c r="G10" i="49"/>
  <c r="G11" i="49" s="1"/>
  <c r="G12" i="49" s="1"/>
  <c r="G13" i="49" s="1"/>
  <c r="G14" i="49" s="1"/>
  <c r="G15" i="49" s="1"/>
  <c r="G16" i="49" s="1"/>
  <c r="G17" i="49" s="1"/>
  <c r="G18" i="49" s="1"/>
  <c r="G19" i="49" s="1"/>
  <c r="G20" i="49" s="1"/>
  <c r="G21" i="49" s="1"/>
  <c r="E9" i="49"/>
  <c r="H9" i="49" s="1"/>
  <c r="H10" i="49" s="1"/>
  <c r="H11" i="49" s="1"/>
  <c r="H12" i="49" s="1"/>
  <c r="H13" i="49" s="1"/>
  <c r="H14" i="49" s="1"/>
  <c r="H15" i="49" s="1"/>
  <c r="H16" i="49" s="1"/>
  <c r="H17" i="49" s="1"/>
  <c r="H18" i="49" s="1"/>
  <c r="H19" i="49" s="1"/>
  <c r="H20" i="49" s="1"/>
  <c r="H21" i="49" s="1"/>
  <c r="A6" i="49"/>
  <c r="D3" i="49"/>
  <c r="A3" i="49"/>
  <c r="A2" i="49"/>
  <c r="A1" i="49"/>
  <c r="G22" i="48"/>
  <c r="D12" i="44" s="1"/>
  <c r="H9" i="48"/>
  <c r="H10" i="48" s="1"/>
  <c r="H11" i="48" s="1"/>
  <c r="H12" i="48" s="1"/>
  <c r="H13" i="48" s="1"/>
  <c r="H14" i="48" s="1"/>
  <c r="H15" i="48" s="1"/>
  <c r="H16" i="48" s="1"/>
  <c r="H17" i="48" s="1"/>
  <c r="H18" i="48" s="1"/>
  <c r="H19" i="48" s="1"/>
  <c r="H20" i="48" s="1"/>
  <c r="A6" i="48"/>
  <c r="E3" i="48"/>
  <c r="A3" i="48"/>
  <c r="A2" i="48"/>
  <c r="A1" i="48"/>
  <c r="E21" i="47"/>
  <c r="H10" i="47"/>
  <c r="H11" i="47" s="1"/>
  <c r="F9" i="47"/>
  <c r="I9" i="47" s="1"/>
  <c r="I10" i="47" s="1"/>
  <c r="I11" i="47" s="1"/>
  <c r="A6" i="47"/>
  <c r="E3" i="47"/>
  <c r="A3" i="47"/>
  <c r="A2" i="47"/>
  <c r="A1" i="47"/>
  <c r="F23" i="46"/>
  <c r="E10" i="44" s="1"/>
  <c r="D23" i="46"/>
  <c r="D10" i="44" s="1"/>
  <c r="G10" i="46"/>
  <c r="G11" i="46" s="1"/>
  <c r="G12" i="46" s="1"/>
  <c r="G13" i="46" s="1"/>
  <c r="G14" i="46" s="1"/>
  <c r="G15" i="46" s="1"/>
  <c r="G16" i="46" s="1"/>
  <c r="G17" i="46" s="1"/>
  <c r="G18" i="46" s="1"/>
  <c r="G19" i="46" s="1"/>
  <c r="G20" i="46" s="1"/>
  <c r="G21" i="46" s="1"/>
  <c r="E9" i="46"/>
  <c r="H9" i="46" s="1"/>
  <c r="H10" i="46" s="1"/>
  <c r="H11" i="46" s="1"/>
  <c r="H12" i="46" s="1"/>
  <c r="H13" i="46" s="1"/>
  <c r="H14" i="46" s="1"/>
  <c r="H15" i="46" s="1"/>
  <c r="H16" i="46" s="1"/>
  <c r="H17" i="46" s="1"/>
  <c r="H18" i="46" s="1"/>
  <c r="H19" i="46" s="1"/>
  <c r="H20" i="46" s="1"/>
  <c r="H21" i="46" s="1"/>
  <c r="A6" i="46"/>
  <c r="D3" i="46"/>
  <c r="A3" i="46"/>
  <c r="A2" i="46"/>
  <c r="A1" i="46"/>
  <c r="H24" i="45"/>
  <c r="C8" i="44" s="1"/>
  <c r="C17" i="44" s="1"/>
  <c r="G24" i="45"/>
  <c r="C24" i="45"/>
  <c r="A6" i="45"/>
  <c r="D3" i="45"/>
  <c r="A3" i="45"/>
  <c r="A2" i="45"/>
  <c r="A1" i="45"/>
  <c r="G22" i="38"/>
  <c r="E12" i="34" s="1"/>
  <c r="H9" i="38"/>
  <c r="H10" i="38" s="1"/>
  <c r="H11" i="38" s="1"/>
  <c r="H12" i="38" s="1"/>
  <c r="H13" i="38" s="1"/>
  <c r="H14" i="38" s="1"/>
  <c r="H15" i="38" s="1"/>
  <c r="H16" i="38" s="1"/>
  <c r="H17" i="38" s="1"/>
  <c r="H18" i="38" s="1"/>
  <c r="H19" i="38" s="1"/>
  <c r="H20" i="38" s="1"/>
  <c r="A6" i="38"/>
  <c r="E3" i="38"/>
  <c r="A3" i="38"/>
  <c r="A2" i="38"/>
  <c r="A1" i="38"/>
  <c r="E40" i="37"/>
  <c r="H10" i="37"/>
  <c r="H11" i="37" s="1"/>
  <c r="F9" i="37"/>
  <c r="I9" i="37" s="1"/>
  <c r="I10" i="37" s="1"/>
  <c r="I11" i="37" s="1"/>
  <c r="A6" i="37"/>
  <c r="E3" i="37"/>
  <c r="A3" i="37"/>
  <c r="A2" i="37"/>
  <c r="A1" i="37"/>
  <c r="F25" i="36"/>
  <c r="E10" i="34" s="1"/>
  <c r="D25" i="36"/>
  <c r="D10" i="34" s="1"/>
  <c r="G10" i="36"/>
  <c r="G11" i="36" s="1"/>
  <c r="G12" i="36" s="1"/>
  <c r="G13" i="36" s="1"/>
  <c r="G14" i="36" s="1"/>
  <c r="G15" i="36" s="1"/>
  <c r="G16" i="36" s="1"/>
  <c r="G17" i="36" s="1"/>
  <c r="G18" i="36" s="1"/>
  <c r="G19" i="36" s="1"/>
  <c r="G20" i="36" s="1"/>
  <c r="G21" i="36" s="1"/>
  <c r="G22" i="36" s="1"/>
  <c r="G23" i="36" s="1"/>
  <c r="E9" i="36"/>
  <c r="E10" i="36" s="1"/>
  <c r="E11" i="36" s="1"/>
  <c r="E12" i="36" s="1"/>
  <c r="E13" i="36" s="1"/>
  <c r="E14" i="36" s="1"/>
  <c r="E15" i="36" s="1"/>
  <c r="E16" i="36" s="1"/>
  <c r="E17" i="36" s="1"/>
  <c r="E18" i="36" s="1"/>
  <c r="E19" i="36" s="1"/>
  <c r="E20" i="36" s="1"/>
  <c r="E21" i="36" s="1"/>
  <c r="E22" i="36" s="1"/>
  <c r="E23" i="36" s="1"/>
  <c r="A6" i="36"/>
  <c r="D3" i="36"/>
  <c r="A3" i="36"/>
  <c r="A2" i="36"/>
  <c r="A1" i="36"/>
  <c r="H24" i="35"/>
  <c r="C8" i="34" s="1"/>
  <c r="C16" i="34" s="1"/>
  <c r="F19" i="17" s="1"/>
  <c r="G19" i="17" s="1"/>
  <c r="G24" i="35"/>
  <c r="C24" i="35"/>
  <c r="A6" i="35"/>
  <c r="D3" i="35"/>
  <c r="A3" i="35"/>
  <c r="A2" i="35"/>
  <c r="A1" i="35"/>
  <c r="H24" i="30"/>
  <c r="C8" i="29" s="1"/>
  <c r="C38" i="29" s="1"/>
  <c r="F24" i="17" s="1"/>
  <c r="G24" i="17" s="1"/>
  <c r="G24" i="30"/>
  <c r="E3" i="33"/>
  <c r="A6" i="33"/>
  <c r="A3" i="33"/>
  <c r="A2" i="33"/>
  <c r="A1" i="33"/>
  <c r="E3" i="32"/>
  <c r="A6" i="32"/>
  <c r="A3" i="32"/>
  <c r="A2" i="32"/>
  <c r="A1" i="32"/>
  <c r="D3" i="31"/>
  <c r="A6" i="31"/>
  <c r="A3" i="31"/>
  <c r="A2" i="31"/>
  <c r="A1" i="31"/>
  <c r="D3" i="28"/>
  <c r="D3" i="30"/>
  <c r="A6" i="30"/>
  <c r="A3" i="30"/>
  <c r="A2" i="30"/>
  <c r="A1" i="30"/>
  <c r="G36" i="33"/>
  <c r="E12" i="29" s="1"/>
  <c r="H9" i="33"/>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H30" i="33" s="1"/>
  <c r="H31" i="33" s="1"/>
  <c r="H32" i="33" s="1"/>
  <c r="H33" i="33" s="1"/>
  <c r="H34" i="33" s="1"/>
  <c r="E38" i="32"/>
  <c r="D11" i="29" s="1"/>
  <c r="F9" i="32"/>
  <c r="F23" i="31"/>
  <c r="E10" i="29"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C24" i="30"/>
  <c r="A6" i="28"/>
  <c r="A3" i="28"/>
  <c r="A2" i="28"/>
  <c r="A1" i="28"/>
  <c r="G24" i="28"/>
  <c r="C24" i="28"/>
  <c r="H24" i="28"/>
  <c r="C8" i="23" s="1"/>
  <c r="C16" i="23" s="1"/>
  <c r="F22" i="17" s="1"/>
  <c r="G22" i="17" s="1"/>
  <c r="G22" i="27"/>
  <c r="D12" i="23" s="1"/>
  <c r="H9" i="27"/>
  <c r="H10" i="27" s="1"/>
  <c r="H11" i="27" s="1"/>
  <c r="H12" i="27" s="1"/>
  <c r="H13" i="27" s="1"/>
  <c r="H14" i="27" s="1"/>
  <c r="H15" i="27" s="1"/>
  <c r="H16" i="27" s="1"/>
  <c r="H17" i="27" s="1"/>
  <c r="H18" i="27" s="1"/>
  <c r="H19" i="27" s="1"/>
  <c r="H20" i="27" s="1"/>
  <c r="A6" i="27"/>
  <c r="E3" i="27"/>
  <c r="A3" i="27"/>
  <c r="A2" i="27"/>
  <c r="A1" i="27"/>
  <c r="A6" i="26"/>
  <c r="E3" i="26"/>
  <c r="A3" i="26"/>
  <c r="A2" i="26"/>
  <c r="A1" i="26"/>
  <c r="F23" i="25"/>
  <c r="E10" i="23" s="1"/>
  <c r="D23" i="25"/>
  <c r="D10" i="23" s="1"/>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G22" i="22"/>
  <c r="D12" i="18" s="1"/>
  <c r="H9" i="22"/>
  <c r="H10" i="22" s="1"/>
  <c r="H11" i="22" s="1"/>
  <c r="H12" i="22" s="1"/>
  <c r="H13" i="22" s="1"/>
  <c r="H14" i="22" s="1"/>
  <c r="H15" i="22" s="1"/>
  <c r="H16" i="22" s="1"/>
  <c r="H17" i="22" s="1"/>
  <c r="H18" i="22" s="1"/>
  <c r="H19" i="22" s="1"/>
  <c r="H20" i="22" s="1"/>
  <c r="A6" i="22"/>
  <c r="E3" i="22"/>
  <c r="A3" i="22"/>
  <c r="A2" i="22"/>
  <c r="A1" i="22"/>
  <c r="A6" i="21"/>
  <c r="E3" i="21"/>
  <c r="A3" i="21"/>
  <c r="A2" i="21"/>
  <c r="A1" i="21"/>
  <c r="F23" i="20"/>
  <c r="E10" i="18" s="1"/>
  <c r="D23" i="20"/>
  <c r="D10" i="18" s="1"/>
  <c r="G10" i="20"/>
  <c r="G11" i="20" s="1"/>
  <c r="G12" i="20" s="1"/>
  <c r="G13" i="20" s="1"/>
  <c r="G14" i="20" s="1"/>
  <c r="G15" i="20" s="1"/>
  <c r="G16" i="20" s="1"/>
  <c r="G17" i="20" s="1"/>
  <c r="G18" i="20" s="1"/>
  <c r="G19" i="20" s="1"/>
  <c r="G20" i="20" s="1"/>
  <c r="G21" i="20" s="1"/>
  <c r="E9" i="20"/>
  <c r="H9" i="20" s="1"/>
  <c r="H10" i="20" s="1"/>
  <c r="H11" i="20" s="1"/>
  <c r="H12" i="20" s="1"/>
  <c r="H13" i="20" s="1"/>
  <c r="H14" i="20" s="1"/>
  <c r="H15" i="20" s="1"/>
  <c r="H16" i="20" s="1"/>
  <c r="H17" i="20" s="1"/>
  <c r="H18" i="20" s="1"/>
  <c r="H19" i="20" s="1"/>
  <c r="H20" i="20" s="1"/>
  <c r="H21" i="20" s="1"/>
  <c r="A6" i="20"/>
  <c r="D3" i="20"/>
  <c r="A3" i="20"/>
  <c r="A2" i="20"/>
  <c r="A1" i="20"/>
  <c r="G24" i="19"/>
  <c r="C24" i="19"/>
  <c r="H24" i="19"/>
  <c r="C8" i="18" s="1"/>
  <c r="C36" i="18" s="1"/>
  <c r="F16" i="17" s="1"/>
  <c r="G16" i="17" s="1"/>
  <c r="A6" i="19"/>
  <c r="D3" i="19"/>
  <c r="A3" i="19"/>
  <c r="A2" i="19"/>
  <c r="A1" i="19"/>
  <c r="E48" i="17"/>
  <c r="F10" i="75"/>
  <c r="F11" i="75" s="1"/>
  <c r="F12" i="75" s="1"/>
  <c r="F13" i="75" s="1"/>
  <c r="F14" i="75" s="1"/>
  <c r="F15" i="75" s="1"/>
  <c r="F16" i="75" s="1"/>
  <c r="F17" i="75" s="1"/>
  <c r="F18" i="75" s="1"/>
  <c r="F19" i="75" s="1"/>
  <c r="F20" i="75" s="1"/>
  <c r="F21" i="75" s="1"/>
  <c r="F22" i="75" s="1"/>
  <c r="F23" i="75" s="1"/>
  <c r="F24" i="75" s="1"/>
  <c r="F25" i="75" s="1"/>
  <c r="F26" i="75" s="1"/>
  <c r="F27" i="75" s="1"/>
  <c r="F28" i="75" s="1"/>
  <c r="H27" i="25"/>
  <c r="D27" i="57"/>
  <c r="H23" i="61"/>
  <c r="H9" i="67"/>
  <c r="H10" i="67" s="1"/>
  <c r="H11" i="67" s="1"/>
  <c r="H12" i="67" s="1"/>
  <c r="H13" i="67" s="1"/>
  <c r="H14" i="67" s="1"/>
  <c r="H15" i="67" s="1"/>
  <c r="H16" i="67" s="1"/>
  <c r="H17" i="67" s="1"/>
  <c r="H18" i="67" s="1"/>
  <c r="H19" i="67" s="1"/>
  <c r="H20" i="67" s="1"/>
  <c r="H21" i="67" s="1"/>
  <c r="E10" i="78"/>
  <c r="E11" i="78" s="1"/>
  <c r="E12" i="78" s="1"/>
  <c r="E13" i="78" s="1"/>
  <c r="E14" i="78" s="1"/>
  <c r="E15" i="78" s="1"/>
  <c r="E16" i="78" s="1"/>
  <c r="E17" i="78" s="1"/>
  <c r="E18" i="78" s="1"/>
  <c r="E19" i="78" s="1"/>
  <c r="E20" i="78" s="1"/>
  <c r="E21" i="78" s="1"/>
  <c r="E22" i="78" s="1"/>
  <c r="E23" i="78" s="1"/>
  <c r="E24" i="78" s="1"/>
  <c r="E10" i="61"/>
  <c r="E11" i="61" s="1"/>
  <c r="E12" i="61" s="1"/>
  <c r="E13" i="61" s="1"/>
  <c r="E14" i="61" s="1"/>
  <c r="E15" i="61" s="1"/>
  <c r="E16" i="61" s="1"/>
  <c r="E17" i="61" s="1"/>
  <c r="E18" i="61" s="1"/>
  <c r="E19" i="61" s="1"/>
  <c r="E20" i="61" s="1"/>
  <c r="E21" i="61" s="1"/>
  <c r="D12" i="59"/>
  <c r="D13" i="29"/>
  <c r="E10" i="59" l="1"/>
  <c r="H11" i="75"/>
  <c r="H12" i="75" s="1"/>
  <c r="H13" i="75" s="1"/>
  <c r="I12" i="116"/>
  <c r="I13" i="116" s="1"/>
  <c r="I14" i="116" s="1"/>
  <c r="I9" i="111"/>
  <c r="I10" i="111" s="1"/>
  <c r="I11" i="111" s="1"/>
  <c r="I12" i="111" s="1"/>
  <c r="I13" i="111" s="1"/>
  <c r="I14" i="111" s="1"/>
  <c r="I15" i="111" s="1"/>
  <c r="I16" i="111" s="1"/>
  <c r="I17" i="111" s="1"/>
  <c r="I18" i="111" s="1"/>
  <c r="I19" i="111" s="1"/>
  <c r="I20" i="111" s="1"/>
  <c r="I21" i="111" s="1"/>
  <c r="H11" i="125"/>
  <c r="H12" i="125" s="1"/>
  <c r="H13" i="125" s="1"/>
  <c r="H14" i="125" s="1"/>
  <c r="H15" i="125" s="1"/>
  <c r="H16" i="125" s="1"/>
  <c r="H17" i="125" s="1"/>
  <c r="H18" i="125" s="1"/>
  <c r="H19" i="125" s="1"/>
  <c r="H20" i="125" s="1"/>
  <c r="H21" i="125" s="1"/>
  <c r="E10" i="74"/>
  <c r="E11" i="74" s="1"/>
  <c r="E12" i="74" s="1"/>
  <c r="E13" i="74" s="1"/>
  <c r="E14" i="74" s="1"/>
  <c r="E15" i="74" s="1"/>
  <c r="E16" i="74" s="1"/>
  <c r="E17" i="74" s="1"/>
  <c r="E18" i="74" s="1"/>
  <c r="E19" i="74" s="1"/>
  <c r="E20" i="74" s="1"/>
  <c r="E21" i="74" s="1"/>
  <c r="F10" i="125"/>
  <c r="F11" i="125" s="1"/>
  <c r="F12" i="125" s="1"/>
  <c r="F13" i="125" s="1"/>
  <c r="F14" i="125" s="1"/>
  <c r="F15" i="125" s="1"/>
  <c r="F16" i="125" s="1"/>
  <c r="F17" i="125" s="1"/>
  <c r="F18" i="125" s="1"/>
  <c r="F19" i="125" s="1"/>
  <c r="F20" i="125" s="1"/>
  <c r="F21" i="125" s="1"/>
  <c r="H29" i="65"/>
  <c r="H70" i="65"/>
  <c r="H9" i="124"/>
  <c r="H10" i="124" s="1"/>
  <c r="H11" i="124" s="1"/>
  <c r="H12" i="124" s="1"/>
  <c r="H13" i="124" s="1"/>
  <c r="H14" i="124" s="1"/>
  <c r="H15" i="124" s="1"/>
  <c r="H16" i="124" s="1"/>
  <c r="H17" i="124" s="1"/>
  <c r="H18" i="124" s="1"/>
  <c r="H19" i="124" s="1"/>
  <c r="H20" i="124" s="1"/>
  <c r="H21" i="124" s="1"/>
  <c r="E12" i="108"/>
  <c r="I9" i="136"/>
  <c r="I10" i="136" s="1"/>
  <c r="I11" i="136" s="1"/>
  <c r="I12" i="136" s="1"/>
  <c r="I13" i="136" s="1"/>
  <c r="I14" i="136" s="1"/>
  <c r="I15" i="136" s="1"/>
  <c r="I16" i="136" s="1"/>
  <c r="I17" i="136" s="1"/>
  <c r="I18" i="136" s="1"/>
  <c r="I19" i="136" s="1"/>
  <c r="I20" i="136" s="1"/>
  <c r="I21" i="136" s="1"/>
  <c r="D12" i="122"/>
  <c r="F12" i="122" s="1"/>
  <c r="I15" i="116"/>
  <c r="I16" i="116" s="1"/>
  <c r="I17" i="116" s="1"/>
  <c r="I18" i="116" s="1"/>
  <c r="I19" i="116" s="1"/>
  <c r="I20" i="116" s="1"/>
  <c r="I21" i="116" s="1"/>
  <c r="H23" i="25"/>
  <c r="F10" i="23" s="1"/>
  <c r="E10" i="144"/>
  <c r="E11" i="144" s="1"/>
  <c r="E12" i="144" s="1"/>
  <c r="E13" i="144" s="1"/>
  <c r="E14" i="144" s="1"/>
  <c r="E15" i="144" s="1"/>
  <c r="E16" i="144" s="1"/>
  <c r="E17" i="144" s="1"/>
  <c r="E18" i="144" s="1"/>
  <c r="E19" i="144" s="1"/>
  <c r="E20" i="144" s="1"/>
  <c r="E21" i="144" s="1"/>
  <c r="H23" i="167"/>
  <c r="F25" i="18" s="1"/>
  <c r="G23" i="125"/>
  <c r="I23" i="125" s="1"/>
  <c r="F11" i="122" s="1"/>
  <c r="H9" i="53"/>
  <c r="H10" i="53" s="1"/>
  <c r="H11" i="53" s="1"/>
  <c r="H12" i="53" s="1"/>
  <c r="H13" i="53" s="1"/>
  <c r="H14" i="53" s="1"/>
  <c r="H15" i="53" s="1"/>
  <c r="H16" i="53" s="1"/>
  <c r="H17" i="53" s="1"/>
  <c r="H18" i="53" s="1"/>
  <c r="H19" i="53" s="1"/>
  <c r="H20" i="53" s="1"/>
  <c r="H21" i="53" s="1"/>
  <c r="H73" i="65"/>
  <c r="H36" i="65"/>
  <c r="H47" i="65"/>
  <c r="E12" i="44"/>
  <c r="F10" i="89"/>
  <c r="F11" i="89" s="1"/>
  <c r="F12" i="89" s="1"/>
  <c r="F13" i="89" s="1"/>
  <c r="F14" i="89" s="1"/>
  <c r="F15" i="89" s="1"/>
  <c r="F16" i="89" s="1"/>
  <c r="F17" i="89" s="1"/>
  <c r="F18" i="89" s="1"/>
  <c r="F19" i="89" s="1"/>
  <c r="F20" i="89" s="1"/>
  <c r="F21" i="89" s="1"/>
  <c r="H11" i="83"/>
  <c r="H12" i="83" s="1"/>
  <c r="H13" i="83" s="1"/>
  <c r="H14" i="83" s="1"/>
  <c r="H15" i="83" s="1"/>
  <c r="H16" i="83" s="1"/>
  <c r="H17" i="83" s="1"/>
  <c r="H18" i="83" s="1"/>
  <c r="H19" i="83" s="1"/>
  <c r="H20" i="83" s="1"/>
  <c r="H21" i="83" s="1"/>
  <c r="H22" i="83" s="1"/>
  <c r="H23" i="83" s="1"/>
  <c r="H24" i="83" s="1"/>
  <c r="H25" i="83" s="1"/>
  <c r="H26" i="83" s="1"/>
  <c r="H27" i="83" s="1"/>
  <c r="H28" i="83" s="1"/>
  <c r="H29" i="83" s="1"/>
  <c r="H30" i="83" s="1"/>
  <c r="H31" i="83" s="1"/>
  <c r="H32" i="83" s="1"/>
  <c r="H33" i="83" s="1"/>
  <c r="H34" i="83" s="1"/>
  <c r="H35" i="83" s="1"/>
  <c r="H36" i="83" s="1"/>
  <c r="H37" i="83" s="1"/>
  <c r="H38" i="83" s="1"/>
  <c r="H39" i="83" s="1"/>
  <c r="H40" i="83" s="1"/>
  <c r="H41" i="83" s="1"/>
  <c r="H42" i="83" s="1"/>
  <c r="H9" i="25"/>
  <c r="H10" i="25" s="1"/>
  <c r="H11" i="25" s="1"/>
  <c r="H12" i="25" s="1"/>
  <c r="H13" i="25" s="1"/>
  <c r="H14" i="25" s="1"/>
  <c r="H15" i="25" s="1"/>
  <c r="H16" i="25" s="1"/>
  <c r="H17" i="25" s="1"/>
  <c r="H18" i="25" s="1"/>
  <c r="H19" i="25" s="1"/>
  <c r="H20" i="25" s="1"/>
  <c r="H21" i="25" s="1"/>
  <c r="D12" i="139"/>
  <c r="H26" i="74"/>
  <c r="F32" i="148"/>
  <c r="F29" i="121"/>
  <c r="G23" i="152"/>
  <c r="E11" i="149" s="1"/>
  <c r="E10" i="69"/>
  <c r="E11" i="69" s="1"/>
  <c r="E12" i="69" s="1"/>
  <c r="E13" i="69" s="1"/>
  <c r="E14" i="69" s="1"/>
  <c r="E15" i="69" s="1"/>
  <c r="E16" i="69" s="1"/>
  <c r="E17" i="69" s="1"/>
  <c r="E18" i="69" s="1"/>
  <c r="E19" i="69" s="1"/>
  <c r="E20" i="69" s="1"/>
  <c r="E21" i="69" s="1"/>
  <c r="H11" i="62"/>
  <c r="H12" i="62" s="1"/>
  <c r="H13" i="62" s="1"/>
  <c r="H14" i="62" s="1"/>
  <c r="H15" i="62" s="1"/>
  <c r="H16" i="62" s="1"/>
  <c r="H17" i="62" s="1"/>
  <c r="H18" i="62" s="1"/>
  <c r="H19" i="62" s="1"/>
  <c r="H20" i="62" s="1"/>
  <c r="H21" i="62" s="1"/>
  <c r="H23" i="88"/>
  <c r="F10" i="86" s="1"/>
  <c r="H43" i="65"/>
  <c r="D13" i="169"/>
  <c r="E13" i="169"/>
  <c r="F10" i="59"/>
  <c r="H9" i="147"/>
  <c r="H10" i="147" s="1"/>
  <c r="H11" i="147" s="1"/>
  <c r="H12" i="147" s="1"/>
  <c r="H13" i="147" s="1"/>
  <c r="H14" i="147" s="1"/>
  <c r="H15" i="147" s="1"/>
  <c r="H16" i="147" s="1"/>
  <c r="H17" i="147" s="1"/>
  <c r="H18" i="147" s="1"/>
  <c r="H19" i="147" s="1"/>
  <c r="H20" i="147" s="1"/>
  <c r="H21" i="147" s="1"/>
  <c r="H26" i="157"/>
  <c r="H71" i="65"/>
  <c r="E10" i="46"/>
  <c r="E11" i="46" s="1"/>
  <c r="E12" i="46" s="1"/>
  <c r="E13" i="46" s="1"/>
  <c r="E14" i="46" s="1"/>
  <c r="E15" i="46" s="1"/>
  <c r="E16" i="46" s="1"/>
  <c r="E17" i="46" s="1"/>
  <c r="E18" i="46" s="1"/>
  <c r="E19" i="46" s="1"/>
  <c r="E20" i="46" s="1"/>
  <c r="E21" i="46" s="1"/>
  <c r="H9" i="85"/>
  <c r="H10" i="85" s="1"/>
  <c r="H11" i="85" s="1"/>
  <c r="H12" i="85" s="1"/>
  <c r="H13" i="85" s="1"/>
  <c r="H14" i="85" s="1"/>
  <c r="H15" i="85" s="1"/>
  <c r="H16" i="85" s="1"/>
  <c r="H17" i="85" s="1"/>
  <c r="H18" i="85" s="1"/>
  <c r="H19" i="85" s="1"/>
  <c r="H20" i="85" s="1"/>
  <c r="H21" i="85" s="1"/>
  <c r="F10" i="116"/>
  <c r="F11" i="116" s="1"/>
  <c r="F12" i="116" s="1"/>
  <c r="F13" i="116" s="1"/>
  <c r="F14" i="116" s="1"/>
  <c r="F15" i="116" s="1"/>
  <c r="F16" i="116" s="1"/>
  <c r="F17" i="116" s="1"/>
  <c r="F18" i="116" s="1"/>
  <c r="F19" i="116" s="1"/>
  <c r="F20" i="116" s="1"/>
  <c r="F21" i="116" s="1"/>
  <c r="G23" i="116"/>
  <c r="I23" i="116" s="1"/>
  <c r="F11" i="113" s="1"/>
  <c r="H55" i="65"/>
  <c r="I10" i="152"/>
  <c r="H9" i="161"/>
  <c r="H10" i="161" s="1"/>
  <c r="H11" i="161" s="1"/>
  <c r="H12" i="161" s="1"/>
  <c r="H13" i="161" s="1"/>
  <c r="H14" i="161" s="1"/>
  <c r="H15" i="161" s="1"/>
  <c r="H16" i="161" s="1"/>
  <c r="H17" i="161" s="1"/>
  <c r="H18" i="161" s="1"/>
  <c r="H19" i="161" s="1"/>
  <c r="H20" i="161" s="1"/>
  <c r="H21" i="161" s="1"/>
  <c r="I10" i="75"/>
  <c r="I11" i="75" s="1"/>
  <c r="I12" i="75" s="1"/>
  <c r="I13" i="75" s="1"/>
  <c r="I14" i="75" s="1"/>
  <c r="I15" i="75" s="1"/>
  <c r="I16" i="75" s="1"/>
  <c r="I17" i="75" s="1"/>
  <c r="I18" i="75" s="1"/>
  <c r="I19" i="75" s="1"/>
  <c r="I20" i="75" s="1"/>
  <c r="I21" i="75" s="1"/>
  <c r="I22" i="75" s="1"/>
  <c r="I23" i="75" s="1"/>
  <c r="I24" i="75" s="1"/>
  <c r="I25" i="75" s="1"/>
  <c r="I26" i="75" s="1"/>
  <c r="I27" i="75" s="1"/>
  <c r="I28" i="75" s="1"/>
  <c r="H23" i="110"/>
  <c r="F10" i="108" s="1"/>
  <c r="H39" i="65"/>
  <c r="F46" i="64"/>
  <c r="H10" i="152"/>
  <c r="H11" i="152" s="1"/>
  <c r="H12" i="152" s="1"/>
  <c r="H13" i="152" s="1"/>
  <c r="H14" i="152" s="1"/>
  <c r="H15" i="152" s="1"/>
  <c r="H16" i="152" s="1"/>
  <c r="H17" i="152" s="1"/>
  <c r="H18" i="152" s="1"/>
  <c r="H19" i="152" s="1"/>
  <c r="H20" i="152" s="1"/>
  <c r="H21" i="152" s="1"/>
  <c r="H30" i="79"/>
  <c r="H37" i="56"/>
  <c r="I23" i="111"/>
  <c r="F11" i="108" s="1"/>
  <c r="H26" i="49"/>
  <c r="D14" i="44"/>
  <c r="H52" i="65"/>
  <c r="D32" i="65"/>
  <c r="H64" i="65"/>
  <c r="H27" i="121"/>
  <c r="F27" i="57"/>
  <c r="H36" i="20"/>
  <c r="D44" i="71"/>
  <c r="D15" i="18" s="1"/>
  <c r="I11" i="125"/>
  <c r="I12" i="125" s="1"/>
  <c r="I13" i="125" s="1"/>
  <c r="I14" i="125" s="1"/>
  <c r="I15" i="125" s="1"/>
  <c r="I16" i="125" s="1"/>
  <c r="I17" i="125" s="1"/>
  <c r="I18" i="125" s="1"/>
  <c r="I19" i="125" s="1"/>
  <c r="I20" i="125" s="1"/>
  <c r="I21" i="125" s="1"/>
  <c r="F28" i="68"/>
  <c r="D31" i="79"/>
  <c r="H25" i="71"/>
  <c r="H23" i="100"/>
  <c r="F10" i="98" s="1"/>
  <c r="H39" i="64"/>
  <c r="H46" i="64" s="1"/>
  <c r="I9" i="162"/>
  <c r="I10" i="162" s="1"/>
  <c r="I11" i="162" s="1"/>
  <c r="I12" i="162" s="1"/>
  <c r="I13" i="162" s="1"/>
  <c r="I14" i="162" s="1"/>
  <c r="I15" i="162" s="1"/>
  <c r="I16" i="162" s="1"/>
  <c r="I17" i="162" s="1"/>
  <c r="I18" i="162" s="1"/>
  <c r="I19" i="162" s="1"/>
  <c r="I20" i="162" s="1"/>
  <c r="I21" i="162" s="1"/>
  <c r="I22" i="162" s="1"/>
  <c r="I23" i="162" s="1"/>
  <c r="I24" i="162" s="1"/>
  <c r="I25" i="162" s="1"/>
  <c r="I26" i="162" s="1"/>
  <c r="I27" i="162" s="1"/>
  <c r="I28" i="162" s="1"/>
  <c r="I9" i="54"/>
  <c r="I10" i="54" s="1"/>
  <c r="I11" i="54" s="1"/>
  <c r="I12" i="54" s="1"/>
  <c r="I13" i="54" s="1"/>
  <c r="I14" i="54" s="1"/>
  <c r="I15" i="54" s="1"/>
  <c r="I16" i="54" s="1"/>
  <c r="I17" i="54" s="1"/>
  <c r="I18" i="54" s="1"/>
  <c r="I19" i="54" s="1"/>
  <c r="I20" i="54" s="1"/>
  <c r="I21" i="54" s="1"/>
  <c r="I22" i="54" s="1"/>
  <c r="I23" i="54" s="1"/>
  <c r="I24" i="54" s="1"/>
  <c r="I25" i="54" s="1"/>
  <c r="I26" i="54" s="1"/>
  <c r="I27" i="54" s="1"/>
  <c r="I28" i="54" s="1"/>
  <c r="I29" i="54" s="1"/>
  <c r="I30" i="54" s="1"/>
  <c r="I31" i="54" s="1"/>
  <c r="I32" i="54" s="1"/>
  <c r="I33" i="54" s="1"/>
  <c r="I34" i="54" s="1"/>
  <c r="I35" i="54" s="1"/>
  <c r="I36" i="54" s="1"/>
  <c r="I37" i="54" s="1"/>
  <c r="I38" i="54" s="1"/>
  <c r="I39" i="54" s="1"/>
  <c r="I40" i="54" s="1"/>
  <c r="I41" i="54" s="1"/>
  <c r="I42" i="54" s="1"/>
  <c r="I43" i="54" s="1"/>
  <c r="I44" i="54" s="1"/>
  <c r="I45" i="54" s="1"/>
  <c r="I46" i="54" s="1"/>
  <c r="H11" i="142"/>
  <c r="H12" i="142" s="1"/>
  <c r="H13" i="142" s="1"/>
  <c r="H14" i="142" s="1"/>
  <c r="H15" i="142" s="1"/>
  <c r="H16" i="142" s="1"/>
  <c r="H17" i="142" s="1"/>
  <c r="H18" i="142" s="1"/>
  <c r="H19" i="142" s="1"/>
  <c r="H20" i="142" s="1"/>
  <c r="H21" i="142" s="1"/>
  <c r="H22" i="142" s="1"/>
  <c r="H23" i="142" s="1"/>
  <c r="H24" i="142" s="1"/>
  <c r="H25" i="142" s="1"/>
  <c r="H26" i="142" s="1"/>
  <c r="H27" i="142" s="1"/>
  <c r="H28" i="142" s="1"/>
  <c r="H29" i="142" s="1"/>
  <c r="H30" i="142" s="1"/>
  <c r="H31" i="142" s="1"/>
  <c r="H32" i="142" s="1"/>
  <c r="I9" i="142"/>
  <c r="I10" i="142" s="1"/>
  <c r="I11" i="142" s="1"/>
  <c r="I12" i="142" s="1"/>
  <c r="I13" i="142" s="1"/>
  <c r="I14" i="142" s="1"/>
  <c r="I15" i="142" s="1"/>
  <c r="I16" i="142" s="1"/>
  <c r="I17" i="142" s="1"/>
  <c r="I18" i="142" s="1"/>
  <c r="I19" i="142" s="1"/>
  <c r="I20" i="142" s="1"/>
  <c r="I21" i="142" s="1"/>
  <c r="I22" i="142" s="1"/>
  <c r="I23" i="142" s="1"/>
  <c r="I24" i="142" s="1"/>
  <c r="I25" i="142" s="1"/>
  <c r="I26" i="142" s="1"/>
  <c r="I27" i="142" s="1"/>
  <c r="I28" i="142" s="1"/>
  <c r="I29" i="142" s="1"/>
  <c r="I30" i="142" s="1"/>
  <c r="I31" i="142" s="1"/>
  <c r="I32" i="142" s="1"/>
  <c r="H23" i="148"/>
  <c r="F19" i="18" s="1"/>
  <c r="H33" i="158"/>
  <c r="H9" i="88"/>
  <c r="H10" i="88" s="1"/>
  <c r="H11" i="88" s="1"/>
  <c r="H12" i="88" s="1"/>
  <c r="H13" i="88" s="1"/>
  <c r="H14" i="88" s="1"/>
  <c r="H15" i="88" s="1"/>
  <c r="H16" i="88" s="1"/>
  <c r="H17" i="88" s="1"/>
  <c r="H18" i="88" s="1"/>
  <c r="H19" i="88" s="1"/>
  <c r="H20" i="88" s="1"/>
  <c r="H21" i="88" s="1"/>
  <c r="D10" i="86"/>
  <c r="H11" i="32"/>
  <c r="H12" i="32" s="1"/>
  <c r="H13" i="32" s="1"/>
  <c r="H14" i="32" s="1"/>
  <c r="H15" i="32" s="1"/>
  <c r="H16" i="32" s="1"/>
  <c r="H17" i="32" s="1"/>
  <c r="H18" i="32" s="1"/>
  <c r="H19" i="32" s="1"/>
  <c r="H20" i="32" s="1"/>
  <c r="H21" i="32" s="1"/>
  <c r="H22" i="32" s="1"/>
  <c r="H23" i="32" s="1"/>
  <c r="H24" i="32" s="1"/>
  <c r="H25" i="32" s="1"/>
  <c r="H26" i="32" s="1"/>
  <c r="H27" i="32" s="1"/>
  <c r="H28" i="32" s="1"/>
  <c r="H29" i="32" s="1"/>
  <c r="H30" i="32" s="1"/>
  <c r="H31" i="32" s="1"/>
  <c r="H32" i="32" s="1"/>
  <c r="H33" i="32" s="1"/>
  <c r="H34" i="32" s="1"/>
  <c r="H35" i="32" s="1"/>
  <c r="H36" i="32" s="1"/>
  <c r="F9" i="21"/>
  <c r="F10" i="21" s="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F56" i="21" s="1"/>
  <c r="I9" i="131"/>
  <c r="I10" i="131" s="1"/>
  <c r="I11" i="131" s="1"/>
  <c r="I12" i="131" s="1"/>
  <c r="I13" i="131" s="1"/>
  <c r="I14" i="131" s="1"/>
  <c r="I15" i="131" s="1"/>
  <c r="I16" i="131" s="1"/>
  <c r="I17" i="131" s="1"/>
  <c r="I18" i="131" s="1"/>
  <c r="I19" i="131" s="1"/>
  <c r="I20" i="131" s="1"/>
  <c r="I21" i="131" s="1"/>
  <c r="I22" i="131" s="1"/>
  <c r="I23" i="131" s="1"/>
  <c r="I24" i="131" s="1"/>
  <c r="I25" i="131" s="1"/>
  <c r="I26" i="131" s="1"/>
  <c r="I27" i="131" s="1"/>
  <c r="I28" i="131" s="1"/>
  <c r="I29" i="131" s="1"/>
  <c r="I30" i="131" s="1"/>
  <c r="I31" i="131" s="1"/>
  <c r="I32" i="131" s="1"/>
  <c r="I33" i="131" s="1"/>
  <c r="I34" i="131" s="1"/>
  <c r="I35" i="131" s="1"/>
  <c r="I36" i="131" s="1"/>
  <c r="G40" i="37"/>
  <c r="E11" i="34" s="1"/>
  <c r="E16" i="34" s="1"/>
  <c r="I19" i="17" s="1"/>
  <c r="I12" i="37"/>
  <c r="I13" i="37" s="1"/>
  <c r="I14" i="37" s="1"/>
  <c r="I15" i="37" s="1"/>
  <c r="I16" i="37" s="1"/>
  <c r="I17" i="37" s="1"/>
  <c r="I18" i="37" s="1"/>
  <c r="I19" i="37" s="1"/>
  <c r="I20" i="37" s="1"/>
  <c r="I21" i="37" s="1"/>
  <c r="I22" i="37" s="1"/>
  <c r="I23" i="37" s="1"/>
  <c r="I24" i="37" s="1"/>
  <c r="I25" i="37" s="1"/>
  <c r="I26" i="37" s="1"/>
  <c r="I27" i="37" s="1"/>
  <c r="I28" i="37" s="1"/>
  <c r="I29" i="37" s="1"/>
  <c r="I30" i="37" s="1"/>
  <c r="I31" i="37" s="1"/>
  <c r="I32" i="37" s="1"/>
  <c r="I33" i="37" s="1"/>
  <c r="I34" i="37" s="1"/>
  <c r="I35" i="37" s="1"/>
  <c r="I36" i="37" s="1"/>
  <c r="I37" i="37" s="1"/>
  <c r="I38" i="37" s="1"/>
  <c r="H12" i="37"/>
  <c r="H13" i="37" s="1"/>
  <c r="H14" i="37" s="1"/>
  <c r="H15" i="37" s="1"/>
  <c r="H16" i="37" s="1"/>
  <c r="H17" i="37" s="1"/>
  <c r="H18" i="37" s="1"/>
  <c r="H19" i="37" s="1"/>
  <c r="H20" i="37" s="1"/>
  <c r="H21" i="37" s="1"/>
  <c r="H22" i="37" s="1"/>
  <c r="H23" i="37" s="1"/>
  <c r="H24" i="37" s="1"/>
  <c r="H25" i="37" s="1"/>
  <c r="H26" i="37" s="1"/>
  <c r="H27" i="37" s="1"/>
  <c r="H28" i="37" s="1"/>
  <c r="H29" i="37" s="1"/>
  <c r="H30" i="37" s="1"/>
  <c r="H31" i="37" s="1"/>
  <c r="H32" i="37" s="1"/>
  <c r="H33" i="37" s="1"/>
  <c r="H34" i="37" s="1"/>
  <c r="H35" i="37" s="1"/>
  <c r="H36" i="37" s="1"/>
  <c r="H37" i="37" s="1"/>
  <c r="H38" i="37" s="1"/>
  <c r="H9" i="36"/>
  <c r="H10" i="36" s="1"/>
  <c r="H11" i="36" s="1"/>
  <c r="H12" i="36" s="1"/>
  <c r="H13" i="36" s="1"/>
  <c r="H14" i="36" s="1"/>
  <c r="H15" i="36" s="1"/>
  <c r="H16" i="36" s="1"/>
  <c r="H17" i="36" s="1"/>
  <c r="H18" i="36" s="1"/>
  <c r="H19" i="36" s="1"/>
  <c r="H20" i="36" s="1"/>
  <c r="H21" i="36" s="1"/>
  <c r="H22" i="36" s="1"/>
  <c r="H23" i="36" s="1"/>
  <c r="H29" i="25"/>
  <c r="F32" i="65"/>
  <c r="H53" i="65"/>
  <c r="D74" i="65"/>
  <c r="H9" i="155"/>
  <c r="H10" i="155" s="1"/>
  <c r="H11" i="155" s="1"/>
  <c r="H12" i="155" s="1"/>
  <c r="H13" i="155" s="1"/>
  <c r="H14" i="155" s="1"/>
  <c r="H15" i="155" s="1"/>
  <c r="H16" i="155" s="1"/>
  <c r="H17" i="155" s="1"/>
  <c r="H18" i="155" s="1"/>
  <c r="H19" i="155" s="1"/>
  <c r="H20" i="155" s="1"/>
  <c r="H21" i="155" s="1"/>
  <c r="I12" i="47"/>
  <c r="I13" i="47" s="1"/>
  <c r="I14" i="47" s="1"/>
  <c r="I15" i="47" s="1"/>
  <c r="I16" i="47" s="1"/>
  <c r="I17" i="47" s="1"/>
  <c r="I18" i="47" s="1"/>
  <c r="I19" i="47" s="1"/>
  <c r="F29" i="25"/>
  <c r="G44" i="94"/>
  <c r="E11" i="91" s="1"/>
  <c r="E17" i="91" s="1"/>
  <c r="I26" i="17" s="1"/>
  <c r="F9" i="62"/>
  <c r="F10" i="62" s="1"/>
  <c r="F11" i="62" s="1"/>
  <c r="F12" i="62" s="1"/>
  <c r="F13" i="62" s="1"/>
  <c r="F14" i="62" s="1"/>
  <c r="F15" i="62" s="1"/>
  <c r="F16" i="62" s="1"/>
  <c r="F17" i="62" s="1"/>
  <c r="F18" i="62" s="1"/>
  <c r="F19" i="62" s="1"/>
  <c r="F20" i="62" s="1"/>
  <c r="F21" i="62" s="1"/>
  <c r="D14" i="108"/>
  <c r="G14" i="108" s="1"/>
  <c r="K28" i="17" s="1"/>
  <c r="G12" i="171"/>
  <c r="G13" i="171" s="1"/>
  <c r="G14" i="171" s="1"/>
  <c r="G15" i="171" s="1"/>
  <c r="G16" i="171" s="1"/>
  <c r="G17" i="171" s="1"/>
  <c r="G18" i="171" s="1"/>
  <c r="G19" i="171" s="1"/>
  <c r="G20" i="171" s="1"/>
  <c r="G21" i="171" s="1"/>
  <c r="H11" i="26"/>
  <c r="H12" i="26" s="1"/>
  <c r="H13" i="26" s="1"/>
  <c r="H14" i="26" s="1"/>
  <c r="H15" i="26" s="1"/>
  <c r="H16" i="26" s="1"/>
  <c r="H17" i="26" s="1"/>
  <c r="H18" i="26" s="1"/>
  <c r="H19" i="26" s="1"/>
  <c r="H20" i="26" s="1"/>
  <c r="H21" i="26" s="1"/>
  <c r="H22" i="26" s="1"/>
  <c r="H23" i="26" s="1"/>
  <c r="H24" i="26" s="1"/>
  <c r="H25" i="26" s="1"/>
  <c r="H26" i="26" s="1"/>
  <c r="H27" i="26" s="1"/>
  <c r="H28" i="26" s="1"/>
  <c r="H29" i="26" s="1"/>
  <c r="H30" i="26" s="1"/>
  <c r="H23" i="85"/>
  <c r="F16" i="18" s="1"/>
  <c r="H26" i="118"/>
  <c r="H29" i="118" s="1"/>
  <c r="H9" i="145"/>
  <c r="H10" i="145" s="1"/>
  <c r="H11" i="145" s="1"/>
  <c r="H12" i="145" s="1"/>
  <c r="H13" i="145" s="1"/>
  <c r="H14" i="145" s="1"/>
  <c r="H15" i="145" s="1"/>
  <c r="H16" i="145" s="1"/>
  <c r="H17" i="145" s="1"/>
  <c r="H18" i="145" s="1"/>
  <c r="H19" i="145" s="1"/>
  <c r="H20" i="145" s="1"/>
  <c r="H21" i="145" s="1"/>
  <c r="H11" i="131"/>
  <c r="H12" i="131" s="1"/>
  <c r="H13" i="131" s="1"/>
  <c r="H14" i="131" s="1"/>
  <c r="H15" i="131" s="1"/>
  <c r="H16" i="131" s="1"/>
  <c r="H17" i="131" s="1"/>
  <c r="H18" i="131" s="1"/>
  <c r="H19" i="131" s="1"/>
  <c r="H20" i="131" s="1"/>
  <c r="H21" i="131" s="1"/>
  <c r="H22" i="131" s="1"/>
  <c r="H23" i="131" s="1"/>
  <c r="H24" i="131" s="1"/>
  <c r="H25" i="131" s="1"/>
  <c r="H26" i="131" s="1"/>
  <c r="H27" i="131" s="1"/>
  <c r="H28" i="131" s="1"/>
  <c r="H29" i="131" s="1"/>
  <c r="H30" i="131" s="1"/>
  <c r="H31" i="131" s="1"/>
  <c r="H32" i="131" s="1"/>
  <c r="H33" i="131" s="1"/>
  <c r="H34" i="131" s="1"/>
  <c r="H35" i="131" s="1"/>
  <c r="H36" i="131" s="1"/>
  <c r="E10" i="165"/>
  <c r="E11" i="165" s="1"/>
  <c r="E12" i="165" s="1"/>
  <c r="E13" i="165" s="1"/>
  <c r="E14" i="165" s="1"/>
  <c r="E15" i="165" s="1"/>
  <c r="E16" i="165" s="1"/>
  <c r="E17" i="165" s="1"/>
  <c r="E18" i="165" s="1"/>
  <c r="E19" i="165" s="1"/>
  <c r="E20" i="165" s="1"/>
  <c r="E21" i="165" s="1"/>
  <c r="F12" i="44"/>
  <c r="H23" i="49"/>
  <c r="F13" i="44" s="1"/>
  <c r="D12" i="80"/>
  <c r="F12" i="80" s="1"/>
  <c r="F40" i="65"/>
  <c r="I11" i="152"/>
  <c r="I12" i="152" s="1"/>
  <c r="I13" i="152" s="1"/>
  <c r="I14" i="152" s="1"/>
  <c r="I15" i="152" s="1"/>
  <c r="I16" i="152" s="1"/>
  <c r="I17" i="152" s="1"/>
  <c r="I18" i="152" s="1"/>
  <c r="I19" i="152" s="1"/>
  <c r="I20" i="152" s="1"/>
  <c r="I21" i="152" s="1"/>
  <c r="D28" i="68"/>
  <c r="F29" i="155"/>
  <c r="F42" i="20"/>
  <c r="E12" i="23"/>
  <c r="F12" i="23" s="1"/>
  <c r="H62" i="65"/>
  <c r="D66" i="65"/>
  <c r="D12" i="133"/>
  <c r="F12" i="133" s="1"/>
  <c r="H27" i="68"/>
  <c r="E10" i="56"/>
  <c r="E11" i="56" s="1"/>
  <c r="E12" i="56" s="1"/>
  <c r="E13" i="56" s="1"/>
  <c r="E14" i="56" s="1"/>
  <c r="E15" i="56" s="1"/>
  <c r="E16" i="56" s="1"/>
  <c r="E17" i="56" s="1"/>
  <c r="E18" i="56" s="1"/>
  <c r="E19" i="56" s="1"/>
  <c r="E20" i="56" s="1"/>
  <c r="E21" i="56" s="1"/>
  <c r="E22" i="56" s="1"/>
  <c r="E23" i="56" s="1"/>
  <c r="E24" i="56" s="1"/>
  <c r="E25" i="56" s="1"/>
  <c r="E26" i="56" s="1"/>
  <c r="E27" i="56" s="1"/>
  <c r="I10" i="83"/>
  <c r="I11" i="83" s="1"/>
  <c r="I12" i="83" s="1"/>
  <c r="I13" i="83" s="1"/>
  <c r="I14" i="83" s="1"/>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I35" i="83" s="1"/>
  <c r="I36" i="83" s="1"/>
  <c r="I37" i="83" s="1"/>
  <c r="I38" i="83" s="1"/>
  <c r="I39" i="83" s="1"/>
  <c r="I40" i="83" s="1"/>
  <c r="I41" i="83" s="1"/>
  <c r="I42" i="83" s="1"/>
  <c r="H23" i="96"/>
  <c r="F17" i="18" s="1"/>
  <c r="E12" i="103"/>
  <c r="F12" i="103" s="1"/>
  <c r="H23" i="115"/>
  <c r="F10" i="113" s="1"/>
  <c r="D12" i="29"/>
  <c r="F12" i="29" s="1"/>
  <c r="D12" i="34"/>
  <c r="F12" i="34" s="1"/>
  <c r="H25" i="36"/>
  <c r="F10" i="34" s="1"/>
  <c r="H30" i="77"/>
  <c r="F13" i="29" s="1"/>
  <c r="H9" i="31"/>
  <c r="H10" i="31" s="1"/>
  <c r="H11" i="31" s="1"/>
  <c r="H12" i="31" s="1"/>
  <c r="H13" i="31" s="1"/>
  <c r="H14" i="31" s="1"/>
  <c r="H15" i="31" s="1"/>
  <c r="H16" i="31" s="1"/>
  <c r="H17" i="31" s="1"/>
  <c r="H18" i="31" s="1"/>
  <c r="H19" i="31" s="1"/>
  <c r="H20" i="31" s="1"/>
  <c r="H21" i="31" s="1"/>
  <c r="F10" i="37"/>
  <c r="F11" i="37" s="1"/>
  <c r="F12" i="37" s="1"/>
  <c r="F13" i="37" s="1"/>
  <c r="F14" i="37" s="1"/>
  <c r="F15" i="37" s="1"/>
  <c r="F16" i="37" s="1"/>
  <c r="F17" i="37" s="1"/>
  <c r="F18" i="37" s="1"/>
  <c r="F19" i="37" s="1"/>
  <c r="F20" i="37" s="1"/>
  <c r="F21" i="37" s="1"/>
  <c r="F22" i="37" s="1"/>
  <c r="F23" i="37" s="1"/>
  <c r="F24" i="37" s="1"/>
  <c r="F25" i="37" s="1"/>
  <c r="F26" i="37" s="1"/>
  <c r="F27" i="37" s="1"/>
  <c r="F28" i="37" s="1"/>
  <c r="F29" i="37" s="1"/>
  <c r="F30" i="37" s="1"/>
  <c r="F31" i="37" s="1"/>
  <c r="F32" i="37" s="1"/>
  <c r="F33" i="37" s="1"/>
  <c r="F34" i="37" s="1"/>
  <c r="F35" i="37" s="1"/>
  <c r="F36" i="37" s="1"/>
  <c r="F37" i="37" s="1"/>
  <c r="F38" i="37" s="1"/>
  <c r="D10" i="149"/>
  <c r="E10" i="149"/>
  <c r="D29" i="49"/>
  <c r="H23" i="53"/>
  <c r="F10" i="51" s="1"/>
  <c r="H26" i="68"/>
  <c r="H42" i="20"/>
  <c r="H10" i="116"/>
  <c r="H11" i="116" s="1"/>
  <c r="H12" i="116" s="1"/>
  <c r="H13" i="116" s="1"/>
  <c r="H14" i="116" s="1"/>
  <c r="H15" i="116" s="1"/>
  <c r="H16" i="116" s="1"/>
  <c r="H17" i="116" s="1"/>
  <c r="H18" i="116" s="1"/>
  <c r="H19" i="116" s="1"/>
  <c r="H20" i="116" s="1"/>
  <c r="H21" i="116" s="1"/>
  <c r="E10" i="65"/>
  <c r="E11" i="65" s="1"/>
  <c r="E12" i="65" s="1"/>
  <c r="E13" i="65" s="1"/>
  <c r="E14" i="65" s="1"/>
  <c r="E15" i="65" s="1"/>
  <c r="E16" i="65" s="1"/>
  <c r="E17" i="65" s="1"/>
  <c r="E18" i="65" s="1"/>
  <c r="E19" i="65" s="1"/>
  <c r="E20" i="65" s="1"/>
  <c r="E21" i="65" s="1"/>
  <c r="D12" i="51"/>
  <c r="F12" i="51" s="1"/>
  <c r="E10" i="20"/>
  <c r="E11" i="20" s="1"/>
  <c r="E12" i="20" s="1"/>
  <c r="E13" i="20" s="1"/>
  <c r="E14" i="20" s="1"/>
  <c r="E15" i="20" s="1"/>
  <c r="E16" i="20" s="1"/>
  <c r="E17" i="20" s="1"/>
  <c r="E18" i="20" s="1"/>
  <c r="E19" i="20" s="1"/>
  <c r="E20" i="20" s="1"/>
  <c r="E21" i="20" s="1"/>
  <c r="E10" i="68"/>
  <c r="E11" i="68" s="1"/>
  <c r="E12" i="68" s="1"/>
  <c r="E13" i="68" s="1"/>
  <c r="E14" i="68" s="1"/>
  <c r="E15" i="68" s="1"/>
  <c r="E16" i="68" s="1"/>
  <c r="E17" i="68" s="1"/>
  <c r="E18" i="68" s="1"/>
  <c r="E19" i="68" s="1"/>
  <c r="E20" i="68" s="1"/>
  <c r="E21" i="68" s="1"/>
  <c r="E32" i="26"/>
  <c r="D11" i="23" s="1"/>
  <c r="D16" i="23" s="1"/>
  <c r="H22" i="17" s="1"/>
  <c r="H23" i="144"/>
  <c r="F15" i="29" s="1"/>
  <c r="H23" i="146"/>
  <c r="F14" i="51" s="1"/>
  <c r="F28" i="82"/>
  <c r="H38" i="71"/>
  <c r="H14" i="75"/>
  <c r="H15" i="75" s="1"/>
  <c r="H16" i="75" s="1"/>
  <c r="H17" i="75" s="1"/>
  <c r="H18" i="75" s="1"/>
  <c r="H19" i="75" s="1"/>
  <c r="H20" i="75" s="1"/>
  <c r="H21" i="75" s="1"/>
  <c r="H22" i="75" s="1"/>
  <c r="H23" i="75" s="1"/>
  <c r="H24" i="75" s="1"/>
  <c r="H25" i="75" s="1"/>
  <c r="H26" i="75" s="1"/>
  <c r="H27" i="75" s="1"/>
  <c r="H28" i="75" s="1"/>
  <c r="H12" i="47"/>
  <c r="H13" i="47" s="1"/>
  <c r="H14" i="47" s="1"/>
  <c r="H15" i="47" s="1"/>
  <c r="H16" i="47" s="1"/>
  <c r="H17" i="47" s="1"/>
  <c r="H18" i="47" s="1"/>
  <c r="H19" i="47" s="1"/>
  <c r="F47" i="138"/>
  <c r="H9" i="58"/>
  <c r="H10" i="58" s="1"/>
  <c r="H11" i="58" s="1"/>
  <c r="H12" i="58" s="1"/>
  <c r="H13" i="58" s="1"/>
  <c r="H14" i="58" s="1"/>
  <c r="H15" i="58" s="1"/>
  <c r="H16" i="58" s="1"/>
  <c r="H17" i="58" s="1"/>
  <c r="H18" i="58" s="1"/>
  <c r="H19" i="58" s="1"/>
  <c r="H20" i="58" s="1"/>
  <c r="H21" i="58" s="1"/>
  <c r="I21" i="47"/>
  <c r="F11" i="44" s="1"/>
  <c r="F30" i="97"/>
  <c r="H37" i="65"/>
  <c r="F28" i="147"/>
  <c r="H9" i="164"/>
  <c r="H10" i="164" s="1"/>
  <c r="H11" i="164" s="1"/>
  <c r="H12" i="164" s="1"/>
  <c r="H13" i="164" s="1"/>
  <c r="H14" i="164" s="1"/>
  <c r="H15" i="164" s="1"/>
  <c r="H16" i="164" s="1"/>
  <c r="H17" i="164" s="1"/>
  <c r="H18" i="164" s="1"/>
  <c r="H19" i="164" s="1"/>
  <c r="H20" i="164" s="1"/>
  <c r="H21" i="164" s="1"/>
  <c r="H61" i="65"/>
  <c r="F30" i="67"/>
  <c r="D29" i="121"/>
  <c r="F36" i="20"/>
  <c r="F32" i="96"/>
  <c r="H23" i="105"/>
  <c r="F10" i="103" s="1"/>
  <c r="H23" i="46"/>
  <c r="F10" i="44" s="1"/>
  <c r="H9" i="79"/>
  <c r="H10" i="79" s="1"/>
  <c r="H11" i="79" s="1"/>
  <c r="H12" i="79" s="1"/>
  <c r="H13" i="79" s="1"/>
  <c r="H14" i="79" s="1"/>
  <c r="H15" i="79" s="1"/>
  <c r="H16" i="79" s="1"/>
  <c r="H17" i="79" s="1"/>
  <c r="H18" i="79" s="1"/>
  <c r="H19" i="79" s="1"/>
  <c r="H20" i="79" s="1"/>
  <c r="H21" i="79" s="1"/>
  <c r="D44" i="20"/>
  <c r="H35" i="65"/>
  <c r="D48" i="65"/>
  <c r="F29" i="49"/>
  <c r="I10" i="106"/>
  <c r="I11" i="106" s="1"/>
  <c r="I12" i="106" s="1"/>
  <c r="I13" i="106" s="1"/>
  <c r="I14" i="106" s="1"/>
  <c r="I15" i="106" s="1"/>
  <c r="I16" i="106" s="1"/>
  <c r="I17" i="106" s="1"/>
  <c r="I18" i="106" s="1"/>
  <c r="I19" i="106" s="1"/>
  <c r="I20" i="106" s="1"/>
  <c r="I21" i="106" s="1"/>
  <c r="I22" i="106" s="1"/>
  <c r="I23" i="106" s="1"/>
  <c r="I24" i="106" s="1"/>
  <c r="H9" i="119"/>
  <c r="H10" i="119" s="1"/>
  <c r="H11" i="119" s="1"/>
  <c r="H12" i="119" s="1"/>
  <c r="H13" i="119" s="1"/>
  <c r="H14" i="119" s="1"/>
  <c r="H15" i="119" s="1"/>
  <c r="H16" i="119" s="1"/>
  <c r="H17" i="119" s="1"/>
  <c r="H18" i="119" s="1"/>
  <c r="H19" i="119" s="1"/>
  <c r="H20" i="119" s="1"/>
  <c r="H21" i="119" s="1"/>
  <c r="H51" i="138"/>
  <c r="H55" i="138" s="1"/>
  <c r="H23" i="157"/>
  <c r="F20" i="18" s="1"/>
  <c r="H31" i="164"/>
  <c r="F48" i="65"/>
  <c r="H30" i="97"/>
  <c r="H28" i="147"/>
  <c r="E14" i="44"/>
  <c r="E17" i="44" s="1"/>
  <c r="I20" i="17" s="1"/>
  <c r="H9" i="158"/>
  <c r="H10" i="158" s="1"/>
  <c r="H11" i="158" s="1"/>
  <c r="H12" i="158" s="1"/>
  <c r="H13" i="158" s="1"/>
  <c r="H14" i="158" s="1"/>
  <c r="H15" i="158" s="1"/>
  <c r="H16" i="158" s="1"/>
  <c r="H17" i="158" s="1"/>
  <c r="H18" i="158" s="1"/>
  <c r="H19" i="158" s="1"/>
  <c r="H20" i="158" s="1"/>
  <c r="H21" i="158" s="1"/>
  <c r="H22" i="158" s="1"/>
  <c r="H23" i="158" s="1"/>
  <c r="F30" i="127"/>
  <c r="F28" i="53"/>
  <c r="H9" i="100"/>
  <c r="H10" i="100" s="1"/>
  <c r="H11" i="100" s="1"/>
  <c r="H12" i="100" s="1"/>
  <c r="H13" i="100" s="1"/>
  <c r="H14" i="100" s="1"/>
  <c r="H15" i="100" s="1"/>
  <c r="H16" i="100" s="1"/>
  <c r="H17" i="100" s="1"/>
  <c r="H18" i="100" s="1"/>
  <c r="H19" i="100" s="1"/>
  <c r="H20" i="100" s="1"/>
  <c r="H21" i="100" s="1"/>
  <c r="H23" i="67"/>
  <c r="F13" i="51" s="1"/>
  <c r="E10" i="71"/>
  <c r="E11" i="71" s="1"/>
  <c r="E12" i="71" s="1"/>
  <c r="E13" i="71" s="1"/>
  <c r="E14" i="71" s="1"/>
  <c r="E15" i="71" s="1"/>
  <c r="E16" i="71" s="1"/>
  <c r="E17" i="71" s="1"/>
  <c r="E18" i="71" s="1"/>
  <c r="E19" i="71" s="1"/>
  <c r="E20" i="71" s="1"/>
  <c r="E21" i="71" s="1"/>
  <c r="E22" i="71" s="1"/>
  <c r="E23" i="71" s="1"/>
  <c r="E12" i="72"/>
  <c r="F12" i="72" s="1"/>
  <c r="H26" i="53"/>
  <c r="H28" i="53" s="1"/>
  <c r="H50" i="96"/>
  <c r="H23" i="118"/>
  <c r="F13" i="98" s="1"/>
  <c r="H26" i="121"/>
  <c r="I23" i="152"/>
  <c r="F11" i="149" s="1"/>
  <c r="H9" i="167"/>
  <c r="H10" i="167" s="1"/>
  <c r="H11" i="167" s="1"/>
  <c r="H12" i="167" s="1"/>
  <c r="H13" i="167" s="1"/>
  <c r="H14" i="167" s="1"/>
  <c r="H15" i="167" s="1"/>
  <c r="H16" i="167" s="1"/>
  <c r="H17" i="167" s="1"/>
  <c r="H18" i="167" s="1"/>
  <c r="H19" i="167" s="1"/>
  <c r="H20" i="167" s="1"/>
  <c r="H21" i="167" s="1"/>
  <c r="H29" i="56"/>
  <c r="F14" i="34" s="1"/>
  <c r="H26" i="78"/>
  <c r="F14" i="29" s="1"/>
  <c r="H28" i="93"/>
  <c r="H28" i="49"/>
  <c r="F74" i="65"/>
  <c r="D13" i="44"/>
  <c r="E10" i="93"/>
  <c r="E11" i="93" s="1"/>
  <c r="E12" i="93" s="1"/>
  <c r="E13" i="93" s="1"/>
  <c r="E14" i="93" s="1"/>
  <c r="E15" i="93" s="1"/>
  <c r="E16" i="93" s="1"/>
  <c r="E17" i="93" s="1"/>
  <c r="E18" i="93" s="1"/>
  <c r="E19" i="93" s="1"/>
  <c r="E20" i="93" s="1"/>
  <c r="E21" i="93" s="1"/>
  <c r="H9" i="97"/>
  <c r="H10" i="97" s="1"/>
  <c r="H11" i="97" s="1"/>
  <c r="H12" i="97" s="1"/>
  <c r="H13" i="97" s="1"/>
  <c r="H14" i="97" s="1"/>
  <c r="H15" i="97" s="1"/>
  <c r="H16" i="97" s="1"/>
  <c r="H17" i="97" s="1"/>
  <c r="H18" i="97" s="1"/>
  <c r="H19" i="97" s="1"/>
  <c r="H20" i="97" s="1"/>
  <c r="H21" i="97" s="1"/>
  <c r="H23" i="165"/>
  <c r="F23" i="18" s="1"/>
  <c r="I9" i="26"/>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H23" i="31"/>
  <c r="F10" i="29" s="1"/>
  <c r="D12" i="98"/>
  <c r="F12" i="98" s="1"/>
  <c r="E10" i="115"/>
  <c r="E11" i="115" s="1"/>
  <c r="E12" i="115" s="1"/>
  <c r="E13" i="115" s="1"/>
  <c r="E14" i="115" s="1"/>
  <c r="E15" i="115" s="1"/>
  <c r="E16" i="115" s="1"/>
  <c r="E17" i="115" s="1"/>
  <c r="E18" i="115" s="1"/>
  <c r="E19" i="115" s="1"/>
  <c r="E20" i="115" s="1"/>
  <c r="E21" i="115" s="1"/>
  <c r="H9" i="121"/>
  <c r="H10" i="121" s="1"/>
  <c r="H11" i="121" s="1"/>
  <c r="H12" i="121" s="1"/>
  <c r="H13" i="121" s="1"/>
  <c r="H14" i="121" s="1"/>
  <c r="H15" i="121" s="1"/>
  <c r="H16" i="121" s="1"/>
  <c r="H17" i="121" s="1"/>
  <c r="H18" i="121" s="1"/>
  <c r="H19" i="121" s="1"/>
  <c r="H20" i="121" s="1"/>
  <c r="H21" i="121" s="1"/>
  <c r="H23" i="135"/>
  <c r="F10" i="133" s="1"/>
  <c r="H36" i="64"/>
  <c r="F13" i="18" s="1"/>
  <c r="H23" i="82"/>
  <c r="F10" i="80" s="1"/>
  <c r="D40" i="65"/>
  <c r="H23" i="151"/>
  <c r="F10" i="152"/>
  <c r="F11" i="152" s="1"/>
  <c r="F12" i="152" s="1"/>
  <c r="F13" i="152" s="1"/>
  <c r="F14" i="152" s="1"/>
  <c r="F15" i="152" s="1"/>
  <c r="F16" i="152" s="1"/>
  <c r="F17" i="152" s="1"/>
  <c r="F18" i="152" s="1"/>
  <c r="F19" i="152" s="1"/>
  <c r="F20" i="152" s="1"/>
  <c r="F21" i="152" s="1"/>
  <c r="H9" i="171"/>
  <c r="H10" i="171" s="1"/>
  <c r="H11" i="171" s="1"/>
  <c r="H12" i="171" s="1"/>
  <c r="H13" i="171" s="1"/>
  <c r="H14" i="171" s="1"/>
  <c r="H15" i="171" s="1"/>
  <c r="H16" i="171" s="1"/>
  <c r="H17" i="171" s="1"/>
  <c r="H18" i="171" s="1"/>
  <c r="H19" i="171" s="1"/>
  <c r="H20" i="171" s="1"/>
  <c r="H21" i="171" s="1"/>
  <c r="H9" i="174"/>
  <c r="H10" i="174" s="1"/>
  <c r="H11" i="174" s="1"/>
  <c r="H12" i="174" s="1"/>
  <c r="H13" i="174" s="1"/>
  <c r="H14" i="174" s="1"/>
  <c r="H15" i="174" s="1"/>
  <c r="H16" i="174" s="1"/>
  <c r="H17" i="174" s="1"/>
  <c r="H18" i="174" s="1"/>
  <c r="H19" i="174" s="1"/>
  <c r="H20" i="174" s="1"/>
  <c r="H21" i="174" s="1"/>
  <c r="E10" i="157"/>
  <c r="E11" i="157" s="1"/>
  <c r="E12" i="157" s="1"/>
  <c r="E13" i="157" s="1"/>
  <c r="E14" i="157" s="1"/>
  <c r="E15" i="157" s="1"/>
  <c r="E16" i="157" s="1"/>
  <c r="E17" i="157" s="1"/>
  <c r="E18" i="157" s="1"/>
  <c r="E19" i="157" s="1"/>
  <c r="E20" i="157" s="1"/>
  <c r="E21" i="157" s="1"/>
  <c r="H23" i="166"/>
  <c r="F24" i="18" s="1"/>
  <c r="H38" i="96"/>
  <c r="H28" i="161"/>
  <c r="F12" i="59"/>
  <c r="I9" i="62"/>
  <c r="I10" i="62" s="1"/>
  <c r="I11" i="62" s="1"/>
  <c r="I12" i="62" s="1"/>
  <c r="I13" i="62" s="1"/>
  <c r="I14" i="62" s="1"/>
  <c r="I15" i="62" s="1"/>
  <c r="I16" i="62" s="1"/>
  <c r="I17" i="62" s="1"/>
  <c r="I18" i="62" s="1"/>
  <c r="I19" i="62" s="1"/>
  <c r="I20" i="62" s="1"/>
  <c r="I21" i="62" s="1"/>
  <c r="E14" i="108"/>
  <c r="I28" i="17" s="1"/>
  <c r="D10" i="29"/>
  <c r="D10" i="59"/>
  <c r="D14" i="59" s="1"/>
  <c r="H18" i="17" s="1"/>
  <c r="H23" i="69"/>
  <c r="F14" i="23" s="1"/>
  <c r="E10" i="77"/>
  <c r="E11" i="77" s="1"/>
  <c r="E12" i="77" s="1"/>
  <c r="E13" i="77" s="1"/>
  <c r="E14" i="77" s="1"/>
  <c r="E15" i="77" s="1"/>
  <c r="E16" i="77" s="1"/>
  <c r="E17" i="77" s="1"/>
  <c r="E18" i="77" s="1"/>
  <c r="E19" i="77" s="1"/>
  <c r="E20" i="77" s="1"/>
  <c r="E21" i="77" s="1"/>
  <c r="E22" i="77" s="1"/>
  <c r="E23" i="77" s="1"/>
  <c r="E24" i="77" s="1"/>
  <c r="E25" i="77" s="1"/>
  <c r="E26" i="77" s="1"/>
  <c r="E27" i="77" s="1"/>
  <c r="E28" i="77" s="1"/>
  <c r="H28" i="74"/>
  <c r="H32" i="96"/>
  <c r="H62" i="96"/>
  <c r="D83" i="96"/>
  <c r="D11" i="44"/>
  <c r="F10" i="83"/>
  <c r="F11" i="83" s="1"/>
  <c r="F12" i="83" s="1"/>
  <c r="F13" i="83" s="1"/>
  <c r="F14" i="83" s="1"/>
  <c r="F15" i="83" s="1"/>
  <c r="F16" i="83" s="1"/>
  <c r="F17" i="83" s="1"/>
  <c r="F18" i="83" s="1"/>
  <c r="F19" i="83" s="1"/>
  <c r="F20" i="83" s="1"/>
  <c r="F21" i="83" s="1"/>
  <c r="F22" i="83" s="1"/>
  <c r="F23" i="83" s="1"/>
  <c r="F24" i="83" s="1"/>
  <c r="F25" i="83" s="1"/>
  <c r="F26" i="83" s="1"/>
  <c r="F27" i="83" s="1"/>
  <c r="F28" i="83" s="1"/>
  <c r="F29" i="83" s="1"/>
  <c r="F30" i="83" s="1"/>
  <c r="F31" i="83" s="1"/>
  <c r="F32" i="83" s="1"/>
  <c r="F33" i="83" s="1"/>
  <c r="F34" i="83" s="1"/>
  <c r="F35" i="83" s="1"/>
  <c r="F36" i="83" s="1"/>
  <c r="F37" i="83" s="1"/>
  <c r="F38" i="83" s="1"/>
  <c r="F39" i="83" s="1"/>
  <c r="F40" i="83" s="1"/>
  <c r="F41" i="83" s="1"/>
  <c r="F42" i="83" s="1"/>
  <c r="D12" i="91"/>
  <c r="F12" i="91" s="1"/>
  <c r="F10" i="106"/>
  <c r="F11" i="106" s="1"/>
  <c r="F12" i="106" s="1"/>
  <c r="F13" i="106" s="1"/>
  <c r="F14" i="106" s="1"/>
  <c r="F15" i="106" s="1"/>
  <c r="F16" i="106" s="1"/>
  <c r="F17" i="106" s="1"/>
  <c r="F18" i="106" s="1"/>
  <c r="F19" i="106" s="1"/>
  <c r="F20" i="106" s="1"/>
  <c r="F21" i="106" s="1"/>
  <c r="F22" i="106" s="1"/>
  <c r="F23" i="106" s="1"/>
  <c r="F24" i="106" s="1"/>
  <c r="E10" i="118"/>
  <c r="E11" i="118" s="1"/>
  <c r="E12" i="118" s="1"/>
  <c r="E13" i="118" s="1"/>
  <c r="E14" i="118" s="1"/>
  <c r="E15" i="118" s="1"/>
  <c r="E16" i="118" s="1"/>
  <c r="E17" i="118" s="1"/>
  <c r="E18" i="118" s="1"/>
  <c r="E19" i="118" s="1"/>
  <c r="E20" i="118" s="1"/>
  <c r="E21" i="118" s="1"/>
  <c r="H31" i="130"/>
  <c r="H47" i="138"/>
  <c r="E10" i="49"/>
  <c r="E11" i="49" s="1"/>
  <c r="E12" i="49" s="1"/>
  <c r="E13" i="49" s="1"/>
  <c r="E14" i="49" s="1"/>
  <c r="E15" i="49" s="1"/>
  <c r="E16" i="49" s="1"/>
  <c r="E17" i="49" s="1"/>
  <c r="E18" i="49" s="1"/>
  <c r="E19" i="49" s="1"/>
  <c r="E20" i="49" s="1"/>
  <c r="E21" i="49" s="1"/>
  <c r="D17" i="18"/>
  <c r="D10" i="98"/>
  <c r="E14" i="133"/>
  <c r="I31" i="17" s="1"/>
  <c r="F12" i="139"/>
  <c r="H32" i="148"/>
  <c r="H23" i="156"/>
  <c r="F15" i="80" s="1"/>
  <c r="H28" i="171"/>
  <c r="H23" i="174"/>
  <c r="G30" i="75"/>
  <c r="E11" i="72" s="1"/>
  <c r="H27" i="65"/>
  <c r="H32" i="65" s="1"/>
  <c r="H44" i="65"/>
  <c r="D15" i="159"/>
  <c r="H33" i="17" s="1"/>
  <c r="H23" i="164"/>
  <c r="F22" i="18" s="1"/>
  <c r="F32" i="157"/>
  <c r="H23" i="58"/>
  <c r="H27" i="58" s="1"/>
  <c r="E10" i="80"/>
  <c r="H74" i="96"/>
  <c r="E15" i="29"/>
  <c r="E12" i="159"/>
  <c r="F12" i="159" s="1"/>
  <c r="H9" i="64"/>
  <c r="H10" i="64" s="1"/>
  <c r="H11" i="64" s="1"/>
  <c r="H12" i="64" s="1"/>
  <c r="H13" i="64" s="1"/>
  <c r="H14" i="64" s="1"/>
  <c r="H15" i="64" s="1"/>
  <c r="H16" i="64" s="1"/>
  <c r="H17" i="64" s="1"/>
  <c r="H18" i="64" s="1"/>
  <c r="H19" i="64" s="1"/>
  <c r="H20" i="64" s="1"/>
  <c r="H21" i="64" s="1"/>
  <c r="H22" i="64" s="1"/>
  <c r="H23" i="64" s="1"/>
  <c r="H24" i="64" s="1"/>
  <c r="H25" i="64" s="1"/>
  <c r="H26" i="64" s="1"/>
  <c r="H27" i="64" s="1"/>
  <c r="H28" i="64" s="1"/>
  <c r="H29" i="64" s="1"/>
  <c r="H30" i="64" s="1"/>
  <c r="H31" i="64" s="1"/>
  <c r="H32" i="64" s="1"/>
  <c r="H33" i="64" s="1"/>
  <c r="H34" i="64" s="1"/>
  <c r="G23" i="62"/>
  <c r="E11" i="59" s="1"/>
  <c r="E14" i="59" s="1"/>
  <c r="F12" i="108"/>
  <c r="E10" i="127"/>
  <c r="E11" i="127" s="1"/>
  <c r="E12" i="127" s="1"/>
  <c r="E13" i="127" s="1"/>
  <c r="E14" i="127" s="1"/>
  <c r="E15" i="127" s="1"/>
  <c r="E16" i="127" s="1"/>
  <c r="E17" i="127" s="1"/>
  <c r="E18" i="127" s="1"/>
  <c r="E19" i="127" s="1"/>
  <c r="E20" i="127" s="1"/>
  <c r="E21" i="127" s="1"/>
  <c r="H9" i="138"/>
  <c r="H10" i="138" s="1"/>
  <c r="H11" i="138" s="1"/>
  <c r="H12" i="138" s="1"/>
  <c r="H13" i="138" s="1"/>
  <c r="H14" i="138" s="1"/>
  <c r="H15" i="138" s="1"/>
  <c r="H16" i="138" s="1"/>
  <c r="H17" i="138" s="1"/>
  <c r="H18" i="138" s="1"/>
  <c r="H19" i="138" s="1"/>
  <c r="H20" i="138" s="1"/>
  <c r="H21" i="138" s="1"/>
  <c r="F38" i="71"/>
  <c r="E10" i="146"/>
  <c r="E11" i="146" s="1"/>
  <c r="E12" i="146" s="1"/>
  <c r="E13" i="146" s="1"/>
  <c r="E14" i="146" s="1"/>
  <c r="E15" i="146" s="1"/>
  <c r="E16" i="146" s="1"/>
  <c r="E17" i="146" s="1"/>
  <c r="E18" i="146" s="1"/>
  <c r="E19" i="146" s="1"/>
  <c r="E20" i="146" s="1"/>
  <c r="E21" i="146" s="1"/>
  <c r="H9" i="148"/>
  <c r="H10" i="148" s="1"/>
  <c r="H11" i="148" s="1"/>
  <c r="H12" i="148" s="1"/>
  <c r="H13" i="148" s="1"/>
  <c r="H14" i="148" s="1"/>
  <c r="H15" i="148" s="1"/>
  <c r="H16" i="148" s="1"/>
  <c r="H17" i="148" s="1"/>
  <c r="H18" i="148" s="1"/>
  <c r="H19" i="148" s="1"/>
  <c r="H20" i="148" s="1"/>
  <c r="H21" i="148" s="1"/>
  <c r="H30" i="157"/>
  <c r="D32" i="157"/>
  <c r="F10" i="47"/>
  <c r="F11" i="47" s="1"/>
  <c r="F12" i="47" s="1"/>
  <c r="F13" i="47" s="1"/>
  <c r="F14" i="47" s="1"/>
  <c r="F15" i="47" s="1"/>
  <c r="F16" i="47" s="1"/>
  <c r="F17" i="47" s="1"/>
  <c r="F18" i="47" s="1"/>
  <c r="F19" i="47" s="1"/>
  <c r="D13" i="98"/>
  <c r="H23" i="121"/>
  <c r="F15" i="72" s="1"/>
  <c r="D57" i="65"/>
  <c r="H27" i="157"/>
  <c r="H23" i="20"/>
  <c r="F10" i="18" s="1"/>
  <c r="E12" i="18"/>
  <c r="F12" i="18" s="1"/>
  <c r="H23" i="65"/>
  <c r="F14" i="18" s="1"/>
  <c r="H23" i="79"/>
  <c r="F13" i="72" s="1"/>
  <c r="F17" i="17"/>
  <c r="G17" i="17" s="1"/>
  <c r="D12" i="128"/>
  <c r="F12" i="128" s="1"/>
  <c r="H23" i="138"/>
  <c r="F14" i="80" s="1"/>
  <c r="E10" i="166"/>
  <c r="E11" i="166" s="1"/>
  <c r="E12" i="166" s="1"/>
  <c r="E13" i="166" s="1"/>
  <c r="E14" i="166" s="1"/>
  <c r="E15" i="166" s="1"/>
  <c r="E16" i="166" s="1"/>
  <c r="E17" i="166" s="1"/>
  <c r="E18" i="166" s="1"/>
  <c r="E19" i="166" s="1"/>
  <c r="E20" i="166" s="1"/>
  <c r="E21" i="166" s="1"/>
  <c r="H29" i="155"/>
  <c r="E10" i="168"/>
  <c r="E11" i="168" s="1"/>
  <c r="E12" i="168" s="1"/>
  <c r="E13" i="168" s="1"/>
  <c r="E14" i="168" s="1"/>
  <c r="E15" i="168" s="1"/>
  <c r="E16" i="168" s="1"/>
  <c r="E17" i="168" s="1"/>
  <c r="E18" i="168" s="1"/>
  <c r="E19" i="168" s="1"/>
  <c r="E20" i="168" s="1"/>
  <c r="H31" i="50"/>
  <c r="F13" i="34" s="1"/>
  <c r="E26" i="18"/>
  <c r="H25" i="158"/>
  <c r="F21" i="18" s="1"/>
  <c r="E13" i="18"/>
  <c r="H9" i="141"/>
  <c r="H10" i="141" s="1"/>
  <c r="H11" i="141" s="1"/>
  <c r="H12" i="141" s="1"/>
  <c r="H13" i="141" s="1"/>
  <c r="H14" i="141" s="1"/>
  <c r="H15" i="141" s="1"/>
  <c r="H16" i="141" s="1"/>
  <c r="H17" i="141" s="1"/>
  <c r="H18" i="141" s="1"/>
  <c r="H19" i="141" s="1"/>
  <c r="H20" i="141" s="1"/>
  <c r="H21" i="141" s="1"/>
  <c r="H23" i="155"/>
  <c r="F13" i="128" s="1"/>
  <c r="H23" i="161"/>
  <c r="F10" i="159" s="1"/>
  <c r="H23" i="171"/>
  <c r="F10" i="169" s="1"/>
  <c r="H23" i="147"/>
  <c r="F15" i="51" s="1"/>
  <c r="D23" i="18"/>
  <c r="F20" i="17"/>
  <c r="G20" i="17" s="1"/>
  <c r="G14" i="59"/>
  <c r="K18" i="17" s="1"/>
  <c r="F18" i="17"/>
  <c r="G18" i="17" s="1"/>
  <c r="E10" i="96"/>
  <c r="E11" i="96" s="1"/>
  <c r="E12" i="96" s="1"/>
  <c r="E13" i="96" s="1"/>
  <c r="E14" i="96" s="1"/>
  <c r="E15" i="96" s="1"/>
  <c r="E16" i="96" s="1"/>
  <c r="E17" i="96" s="1"/>
  <c r="E18" i="96" s="1"/>
  <c r="E19" i="96" s="1"/>
  <c r="E20" i="96" s="1"/>
  <c r="E21" i="96" s="1"/>
  <c r="H9" i="96"/>
  <c r="H10" i="96" s="1"/>
  <c r="H11" i="96" s="1"/>
  <c r="H12" i="96" s="1"/>
  <c r="H13" i="96" s="1"/>
  <c r="H14" i="96" s="1"/>
  <c r="H15" i="96" s="1"/>
  <c r="H16" i="96" s="1"/>
  <c r="H17" i="96" s="1"/>
  <c r="H18" i="96" s="1"/>
  <c r="H19" i="96" s="1"/>
  <c r="H20" i="96" s="1"/>
  <c r="H21" i="96" s="1"/>
  <c r="H10" i="101"/>
  <c r="H11" i="101" s="1"/>
  <c r="H12" i="101" s="1"/>
  <c r="H13" i="101" s="1"/>
  <c r="H14" i="101" s="1"/>
  <c r="H15" i="101" s="1"/>
  <c r="H16" i="101" s="1"/>
  <c r="H17" i="101" s="1"/>
  <c r="H18" i="101" s="1"/>
  <c r="H19" i="101" s="1"/>
  <c r="H20" i="101" s="1"/>
  <c r="H21" i="101" s="1"/>
  <c r="H22" i="101" s="1"/>
  <c r="H23" i="101" s="1"/>
  <c r="H24" i="101" s="1"/>
  <c r="H25" i="101" s="1"/>
  <c r="H26" i="101" s="1"/>
  <c r="H27" i="101" s="1"/>
  <c r="H28" i="101" s="1"/>
  <c r="H29" i="101" s="1"/>
  <c r="H30" i="101" s="1"/>
  <c r="H31" i="101" s="1"/>
  <c r="H32" i="101" s="1"/>
  <c r="H33" i="101" s="1"/>
  <c r="H34" i="101" s="1"/>
  <c r="H35" i="101" s="1"/>
  <c r="H36" i="101" s="1"/>
  <c r="H37" i="101" s="1"/>
  <c r="H38" i="101" s="1"/>
  <c r="H39" i="101" s="1"/>
  <c r="H40" i="101" s="1"/>
  <c r="H41" i="101" s="1"/>
  <c r="H42" i="101" s="1"/>
  <c r="G44" i="101"/>
  <c r="D28" i="82"/>
  <c r="H27" i="82"/>
  <c r="H28" i="82" s="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G58" i="21"/>
  <c r="E11" i="18" s="1"/>
  <c r="D11" i="80"/>
  <c r="D14" i="103"/>
  <c r="G14" i="103" s="1"/>
  <c r="K27" i="17" s="1"/>
  <c r="D17" i="72"/>
  <c r="G17" i="72" s="1"/>
  <c r="K23" i="17" s="1"/>
  <c r="H23" i="127"/>
  <c r="F13" i="91" s="1"/>
  <c r="D13" i="91"/>
  <c r="H23" i="130"/>
  <c r="F10" i="128" s="1"/>
  <c r="D10" i="128"/>
  <c r="H9" i="57"/>
  <c r="H10" i="57" s="1"/>
  <c r="H11" i="57" s="1"/>
  <c r="H12" i="57" s="1"/>
  <c r="H13" i="57" s="1"/>
  <c r="H14" i="57" s="1"/>
  <c r="H15" i="57" s="1"/>
  <c r="H16" i="57" s="1"/>
  <c r="H17" i="57" s="1"/>
  <c r="H18" i="57" s="1"/>
  <c r="H19" i="57" s="1"/>
  <c r="H20" i="57" s="1"/>
  <c r="H21" i="57" s="1"/>
  <c r="E10" i="57"/>
  <c r="E11" i="57" s="1"/>
  <c r="E12" i="57" s="1"/>
  <c r="E13" i="57" s="1"/>
  <c r="E14" i="57" s="1"/>
  <c r="E15" i="57" s="1"/>
  <c r="E16" i="57" s="1"/>
  <c r="E17" i="57" s="1"/>
  <c r="E18" i="57" s="1"/>
  <c r="E19" i="57" s="1"/>
  <c r="E20" i="57" s="1"/>
  <c r="E21" i="57" s="1"/>
  <c r="F30" i="20"/>
  <c r="H28" i="20"/>
  <c r="H30" i="20" s="1"/>
  <c r="I9" i="172"/>
  <c r="I10" i="172" s="1"/>
  <c r="I11" i="172" s="1"/>
  <c r="I12" i="172" s="1"/>
  <c r="I13" i="172" s="1"/>
  <c r="I14" i="172" s="1"/>
  <c r="I15" i="172" s="1"/>
  <c r="I16" i="172" s="1"/>
  <c r="I17" i="172" s="1"/>
  <c r="I18" i="172" s="1"/>
  <c r="I19" i="172" s="1"/>
  <c r="I20" i="172" s="1"/>
  <c r="I21" i="172" s="1"/>
  <c r="F10" i="172"/>
  <c r="F11" i="172" s="1"/>
  <c r="F12" i="172" s="1"/>
  <c r="F13" i="172" s="1"/>
  <c r="F14" i="172" s="1"/>
  <c r="F15" i="172" s="1"/>
  <c r="F16" i="172" s="1"/>
  <c r="F17" i="172" s="1"/>
  <c r="F18" i="172" s="1"/>
  <c r="F19" i="172" s="1"/>
  <c r="F20" i="172" s="1"/>
  <c r="F21" i="172" s="1"/>
  <c r="E12" i="169"/>
  <c r="D12" i="169"/>
  <c r="I23" i="89"/>
  <c r="F11" i="86" s="1"/>
  <c r="D11" i="86"/>
  <c r="H30" i="71"/>
  <c r="H32" i="71" s="1"/>
  <c r="H44" i="71" s="1"/>
  <c r="F32" i="71"/>
  <c r="F27" i="17"/>
  <c r="G27" i="17" s="1"/>
  <c r="E10" i="110"/>
  <c r="E11" i="110" s="1"/>
  <c r="E12" i="110" s="1"/>
  <c r="E13" i="110" s="1"/>
  <c r="E14" i="110" s="1"/>
  <c r="E15" i="110" s="1"/>
  <c r="E16" i="110" s="1"/>
  <c r="E17" i="110" s="1"/>
  <c r="E18" i="110" s="1"/>
  <c r="E19" i="110" s="1"/>
  <c r="E20" i="110" s="1"/>
  <c r="E21" i="110" s="1"/>
  <c r="H9" i="110"/>
  <c r="H10" i="110" s="1"/>
  <c r="H11" i="110" s="1"/>
  <c r="H12" i="110" s="1"/>
  <c r="H13" i="110" s="1"/>
  <c r="H14" i="110" s="1"/>
  <c r="H15" i="110" s="1"/>
  <c r="H16" i="110" s="1"/>
  <c r="H17" i="110" s="1"/>
  <c r="H18" i="110" s="1"/>
  <c r="H19" i="110" s="1"/>
  <c r="H20" i="110" s="1"/>
  <c r="H21" i="110" s="1"/>
  <c r="H9" i="120"/>
  <c r="H10" i="120" s="1"/>
  <c r="H11" i="120" s="1"/>
  <c r="H12" i="120" s="1"/>
  <c r="H13" i="120" s="1"/>
  <c r="H14" i="120" s="1"/>
  <c r="H15" i="120" s="1"/>
  <c r="H16" i="120" s="1"/>
  <c r="H17" i="120" s="1"/>
  <c r="H18" i="120" s="1"/>
  <c r="H19" i="120" s="1"/>
  <c r="H20" i="120" s="1"/>
  <c r="H21" i="120" s="1"/>
  <c r="G44" i="83"/>
  <c r="E11" i="80" s="1"/>
  <c r="D10" i="133"/>
  <c r="G30" i="162"/>
  <c r="H10" i="162"/>
  <c r="H11" i="162" s="1"/>
  <c r="H12" i="162" s="1"/>
  <c r="H13" i="162" s="1"/>
  <c r="H14" i="162" s="1"/>
  <c r="H15" i="162" s="1"/>
  <c r="H16" i="162" s="1"/>
  <c r="H17" i="162" s="1"/>
  <c r="H18" i="162" s="1"/>
  <c r="H19" i="162" s="1"/>
  <c r="H20" i="162" s="1"/>
  <c r="H21" i="162" s="1"/>
  <c r="H22" i="162" s="1"/>
  <c r="H23" i="162" s="1"/>
  <c r="H24" i="162" s="1"/>
  <c r="H25" i="162" s="1"/>
  <c r="H26" i="162" s="1"/>
  <c r="H27" i="162" s="1"/>
  <c r="H28" i="162" s="1"/>
  <c r="D11" i="34"/>
  <c r="D12" i="149"/>
  <c r="E12" i="149"/>
  <c r="F31" i="138"/>
  <c r="H28" i="138"/>
  <c r="H31" i="138" s="1"/>
  <c r="H28" i="157"/>
  <c r="E13" i="23"/>
  <c r="H23" i="68"/>
  <c r="F13" i="23" s="1"/>
  <c r="H29" i="79"/>
  <c r="F31" i="79"/>
  <c r="E11" i="113"/>
  <c r="H9" i="156"/>
  <c r="H10" i="156" s="1"/>
  <c r="H11" i="156" s="1"/>
  <c r="H12" i="156" s="1"/>
  <c r="H13" i="156" s="1"/>
  <c r="H14" i="156" s="1"/>
  <c r="H15" i="156" s="1"/>
  <c r="H16" i="156" s="1"/>
  <c r="H17" i="156" s="1"/>
  <c r="H18" i="156" s="1"/>
  <c r="H19" i="156" s="1"/>
  <c r="H20" i="156" s="1"/>
  <c r="H21" i="156" s="1"/>
  <c r="E10" i="156"/>
  <c r="E11" i="156" s="1"/>
  <c r="E12" i="156" s="1"/>
  <c r="E13" i="156" s="1"/>
  <c r="E14" i="156" s="1"/>
  <c r="E15" i="156" s="1"/>
  <c r="E16" i="156" s="1"/>
  <c r="E17" i="156" s="1"/>
  <c r="E18" i="156" s="1"/>
  <c r="E19" i="156" s="1"/>
  <c r="E20" i="156" s="1"/>
  <c r="E21" i="156" s="1"/>
  <c r="G32" i="26"/>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I9" i="32"/>
  <c r="I10" i="32" s="1"/>
  <c r="I11" i="32" s="1"/>
  <c r="I12" i="32" s="1"/>
  <c r="I13" i="32" s="1"/>
  <c r="I14" i="32" s="1"/>
  <c r="I15" i="32" s="1"/>
  <c r="I16" i="32" s="1"/>
  <c r="I17" i="32" s="1"/>
  <c r="I18" i="32" s="1"/>
  <c r="I19" i="32" s="1"/>
  <c r="I20" i="32" s="1"/>
  <c r="I21" i="32" s="1"/>
  <c r="I22" i="32" s="1"/>
  <c r="I23" i="32" s="1"/>
  <c r="I24" i="32" s="1"/>
  <c r="I25" i="32" s="1"/>
  <c r="I26" i="32" s="1"/>
  <c r="I27" i="32" s="1"/>
  <c r="I28" i="32" s="1"/>
  <c r="I29" i="32" s="1"/>
  <c r="I30" i="32" s="1"/>
  <c r="I31" i="32" s="1"/>
  <c r="I32" i="32" s="1"/>
  <c r="I33" i="32" s="1"/>
  <c r="I34" i="32" s="1"/>
  <c r="I35" i="32" s="1"/>
  <c r="I36" i="32" s="1"/>
  <c r="H30" i="67"/>
  <c r="G38" i="32"/>
  <c r="E11" i="29" s="1"/>
  <c r="I23" i="136"/>
  <c r="F11" i="133" s="1"/>
  <c r="D11" i="133"/>
  <c r="H23" i="57"/>
  <c r="H23" i="93"/>
  <c r="F10" i="91" s="1"/>
  <c r="D10" i="91"/>
  <c r="H29" i="156"/>
  <c r="H34" i="77"/>
  <c r="H40" i="77" s="1"/>
  <c r="H9" i="50"/>
  <c r="H10" i="50" s="1"/>
  <c r="H11" i="50" s="1"/>
  <c r="H12" i="50" s="1"/>
  <c r="H13" i="50" s="1"/>
  <c r="H14" i="50" s="1"/>
  <c r="H15" i="50" s="1"/>
  <c r="H16" i="50" s="1"/>
  <c r="H17" i="50" s="1"/>
  <c r="H18" i="50" s="1"/>
  <c r="H19" i="50" s="1"/>
  <c r="H20" i="50" s="1"/>
  <c r="H21" i="50" s="1"/>
  <c r="H22" i="50" s="1"/>
  <c r="H23" i="50" s="1"/>
  <c r="H24" i="50" s="1"/>
  <c r="H25" i="50" s="1"/>
  <c r="H26" i="50" s="1"/>
  <c r="H27" i="50" s="1"/>
  <c r="H28" i="50" s="1"/>
  <c r="H29" i="50" s="1"/>
  <c r="E10" i="50"/>
  <c r="E11" i="50" s="1"/>
  <c r="E12" i="50" s="1"/>
  <c r="E13" i="50" s="1"/>
  <c r="E14" i="50" s="1"/>
  <c r="E15" i="50" s="1"/>
  <c r="E16" i="50" s="1"/>
  <c r="E17" i="50" s="1"/>
  <c r="E18" i="50" s="1"/>
  <c r="E19" i="50" s="1"/>
  <c r="E20" i="50" s="1"/>
  <c r="E21" i="50" s="1"/>
  <c r="E22" i="50" s="1"/>
  <c r="E23" i="50" s="1"/>
  <c r="E24" i="50" s="1"/>
  <c r="E25" i="50" s="1"/>
  <c r="E26" i="50" s="1"/>
  <c r="E27" i="50" s="1"/>
  <c r="E28" i="50" s="1"/>
  <c r="E29" i="50" s="1"/>
  <c r="E10" i="72"/>
  <c r="H23" i="74"/>
  <c r="F10" i="72" s="1"/>
  <c r="D11" i="51"/>
  <c r="D15" i="44"/>
  <c r="H10" i="54"/>
  <c r="H11" i="54" s="1"/>
  <c r="H12" i="54" s="1"/>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H38" i="54" s="1"/>
  <c r="H39" i="54" s="1"/>
  <c r="H40" i="54" s="1"/>
  <c r="H41" i="54" s="1"/>
  <c r="H42" i="54" s="1"/>
  <c r="H43" i="54" s="1"/>
  <c r="H44" i="54" s="1"/>
  <c r="H45" i="54" s="1"/>
  <c r="H46" i="54" s="1"/>
  <c r="G48" i="54"/>
  <c r="E11" i="51" s="1"/>
  <c r="E17" i="51" s="1"/>
  <c r="I25" i="17" s="1"/>
  <c r="E10" i="82"/>
  <c r="E11" i="82" s="1"/>
  <c r="E12" i="82" s="1"/>
  <c r="E13" i="82" s="1"/>
  <c r="E14" i="82" s="1"/>
  <c r="E15" i="82" s="1"/>
  <c r="E16" i="82" s="1"/>
  <c r="E17" i="82" s="1"/>
  <c r="E18" i="82" s="1"/>
  <c r="E19" i="82" s="1"/>
  <c r="E20" i="82" s="1"/>
  <c r="E21" i="82" s="1"/>
  <c r="H9" i="82"/>
  <c r="H10" i="82" s="1"/>
  <c r="H11" i="82" s="1"/>
  <c r="H12" i="82" s="1"/>
  <c r="H13" i="82" s="1"/>
  <c r="H14" i="82" s="1"/>
  <c r="H15" i="82" s="1"/>
  <c r="H16" i="82" s="1"/>
  <c r="H17" i="82" s="1"/>
  <c r="H18" i="82" s="1"/>
  <c r="H19" i="82" s="1"/>
  <c r="H20" i="82" s="1"/>
  <c r="H21" i="82" s="1"/>
  <c r="I9" i="94"/>
  <c r="I10" i="94" s="1"/>
  <c r="I11" i="94" s="1"/>
  <c r="I12" i="94" s="1"/>
  <c r="I13" i="94" s="1"/>
  <c r="I14" i="94" s="1"/>
  <c r="I15" i="94" s="1"/>
  <c r="I16" i="94" s="1"/>
  <c r="I17" i="94" s="1"/>
  <c r="I18" i="94" s="1"/>
  <c r="I19" i="94" s="1"/>
  <c r="I20" i="94" s="1"/>
  <c r="I21" i="94" s="1"/>
  <c r="I22" i="94" s="1"/>
  <c r="I23" i="94" s="1"/>
  <c r="I24" i="94" s="1"/>
  <c r="I25" i="94" s="1"/>
  <c r="I26" i="94" s="1"/>
  <c r="I27" i="94" s="1"/>
  <c r="I28" i="94" s="1"/>
  <c r="I29" i="94" s="1"/>
  <c r="I30" i="94" s="1"/>
  <c r="I31" i="94" s="1"/>
  <c r="I32" i="94" s="1"/>
  <c r="I33" i="94" s="1"/>
  <c r="I34" i="94" s="1"/>
  <c r="I35" i="94" s="1"/>
  <c r="I36" i="94" s="1"/>
  <c r="I37" i="94" s="1"/>
  <c r="I38" i="94" s="1"/>
  <c r="I39" i="94" s="1"/>
  <c r="I40" i="94" s="1"/>
  <c r="I41" i="94" s="1"/>
  <c r="I42" i="94" s="1"/>
  <c r="F10" i="94"/>
  <c r="F11" i="94" s="1"/>
  <c r="F12" i="94" s="1"/>
  <c r="F13" i="94" s="1"/>
  <c r="F14" i="94" s="1"/>
  <c r="F15" i="94" s="1"/>
  <c r="F16" i="94" s="1"/>
  <c r="F17" i="94" s="1"/>
  <c r="F18" i="94" s="1"/>
  <c r="F19" i="94" s="1"/>
  <c r="F20" i="94" s="1"/>
  <c r="F21" i="94" s="1"/>
  <c r="F22" i="94" s="1"/>
  <c r="F23" i="94" s="1"/>
  <c r="F24" i="94" s="1"/>
  <c r="F25" i="94" s="1"/>
  <c r="F26" i="94" s="1"/>
  <c r="F27" i="94" s="1"/>
  <c r="F28" i="94" s="1"/>
  <c r="F29" i="94" s="1"/>
  <c r="F30" i="94" s="1"/>
  <c r="F31" i="94" s="1"/>
  <c r="F32" i="94" s="1"/>
  <c r="F33" i="94" s="1"/>
  <c r="F34" i="94" s="1"/>
  <c r="F35" i="94" s="1"/>
  <c r="F36" i="94" s="1"/>
  <c r="F37" i="94" s="1"/>
  <c r="F38" i="94" s="1"/>
  <c r="F39" i="94" s="1"/>
  <c r="F40" i="94" s="1"/>
  <c r="F41" i="94" s="1"/>
  <c r="F42" i="94" s="1"/>
  <c r="E10" i="130"/>
  <c r="E11" i="130" s="1"/>
  <c r="E12" i="130" s="1"/>
  <c r="E13" i="130" s="1"/>
  <c r="E14" i="130" s="1"/>
  <c r="E15" i="130" s="1"/>
  <c r="E16" i="130" s="1"/>
  <c r="E17" i="130" s="1"/>
  <c r="E18" i="130" s="1"/>
  <c r="E19" i="130" s="1"/>
  <c r="E20" i="130" s="1"/>
  <c r="E21" i="130" s="1"/>
  <c r="H9" i="130"/>
  <c r="H10" i="130" s="1"/>
  <c r="H11" i="130" s="1"/>
  <c r="H12" i="130" s="1"/>
  <c r="H13" i="130" s="1"/>
  <c r="H14" i="130" s="1"/>
  <c r="H15" i="130" s="1"/>
  <c r="H16" i="130" s="1"/>
  <c r="H17" i="130" s="1"/>
  <c r="H18" i="130" s="1"/>
  <c r="H19" i="130" s="1"/>
  <c r="H20" i="130" s="1"/>
  <c r="H21" i="130" s="1"/>
  <c r="H35" i="138"/>
  <c r="H39" i="138" s="1"/>
  <c r="F39" i="138"/>
  <c r="G23" i="172"/>
  <c r="H10" i="172"/>
  <c r="H11" i="172" s="1"/>
  <c r="H12" i="172" s="1"/>
  <c r="H13" i="172" s="1"/>
  <c r="H14" i="172" s="1"/>
  <c r="H15" i="172" s="1"/>
  <c r="H16" i="172" s="1"/>
  <c r="H17" i="172" s="1"/>
  <c r="H18" i="172" s="1"/>
  <c r="H19" i="172" s="1"/>
  <c r="H20" i="172" s="1"/>
  <c r="H21" i="172" s="1"/>
  <c r="H29" i="157"/>
  <c r="D18" i="139"/>
  <c r="G18" i="139" s="1"/>
  <c r="K32" i="17" s="1"/>
  <c r="D26" i="168"/>
  <c r="H22" i="168"/>
  <c r="F26" i="18" s="1"/>
  <c r="D26" i="18"/>
  <c r="F28" i="115"/>
  <c r="H27" i="115"/>
  <c r="H28" i="115" s="1"/>
  <c r="H26" i="85"/>
  <c r="H32" i="85" s="1"/>
  <c r="H11" i="94"/>
  <c r="H12" i="94" s="1"/>
  <c r="H13" i="94" s="1"/>
  <c r="H14" i="94" s="1"/>
  <c r="H15" i="94" s="1"/>
  <c r="H16" i="94" s="1"/>
  <c r="H17" i="94" s="1"/>
  <c r="H18" i="94" s="1"/>
  <c r="H19" i="94" s="1"/>
  <c r="H20" i="94" s="1"/>
  <c r="H21" i="94" s="1"/>
  <c r="H22" i="94" s="1"/>
  <c r="H23" i="94" s="1"/>
  <c r="H24" i="94" s="1"/>
  <c r="H25" i="94" s="1"/>
  <c r="H26" i="94" s="1"/>
  <c r="H27" i="94" s="1"/>
  <c r="H28" i="94" s="1"/>
  <c r="H29" i="94" s="1"/>
  <c r="H30" i="94" s="1"/>
  <c r="H31" i="94" s="1"/>
  <c r="H32" i="94" s="1"/>
  <c r="H33" i="94" s="1"/>
  <c r="H34" i="94" s="1"/>
  <c r="H35" i="94" s="1"/>
  <c r="H36" i="94" s="1"/>
  <c r="H37" i="94" s="1"/>
  <c r="H38" i="94" s="1"/>
  <c r="H39" i="94" s="1"/>
  <c r="H40" i="94" s="1"/>
  <c r="H41" i="94" s="1"/>
  <c r="H42" i="94" s="1"/>
  <c r="E10" i="135"/>
  <c r="E11" i="135" s="1"/>
  <c r="E12" i="135" s="1"/>
  <c r="E13" i="135" s="1"/>
  <c r="E14" i="135" s="1"/>
  <c r="E15" i="135" s="1"/>
  <c r="E16" i="135" s="1"/>
  <c r="E17" i="135" s="1"/>
  <c r="E18" i="135" s="1"/>
  <c r="E19" i="135" s="1"/>
  <c r="E20" i="135" s="1"/>
  <c r="E21" i="135" s="1"/>
  <c r="H9" i="135"/>
  <c r="H10" i="135" s="1"/>
  <c r="H11" i="135" s="1"/>
  <c r="H12" i="135" s="1"/>
  <c r="H13" i="135" s="1"/>
  <c r="H14" i="135" s="1"/>
  <c r="H15" i="135" s="1"/>
  <c r="H16" i="135" s="1"/>
  <c r="H17" i="135" s="1"/>
  <c r="H18" i="135" s="1"/>
  <c r="H19" i="135" s="1"/>
  <c r="H20" i="135" s="1"/>
  <c r="H21" i="135" s="1"/>
  <c r="H23" i="145"/>
  <c r="F16" i="29" s="1"/>
  <c r="D16" i="29"/>
  <c r="H10" i="106"/>
  <c r="H11" i="106" s="1"/>
  <c r="H12" i="106" s="1"/>
  <c r="H13" i="106" s="1"/>
  <c r="H14" i="106" s="1"/>
  <c r="H15" i="106" s="1"/>
  <c r="H16" i="106" s="1"/>
  <c r="H17" i="106" s="1"/>
  <c r="H18" i="106" s="1"/>
  <c r="H19" i="106" s="1"/>
  <c r="H20" i="106" s="1"/>
  <c r="H21" i="106" s="1"/>
  <c r="H22" i="106" s="1"/>
  <c r="H23" i="106" s="1"/>
  <c r="H24" i="106" s="1"/>
  <c r="G26" i="106"/>
  <c r="E11" i="103" s="1"/>
  <c r="F57" i="65"/>
  <c r="G38" i="131"/>
  <c r="H23" i="141"/>
  <c r="F10" i="139" s="1"/>
  <c r="D22" i="18"/>
  <c r="D12" i="113"/>
  <c r="E12" i="113"/>
  <c r="H23" i="119"/>
  <c r="F13" i="80" s="1"/>
  <c r="E10" i="122"/>
  <c r="H23" i="124"/>
  <c r="F10" i="122" s="1"/>
  <c r="D15" i="51"/>
  <c r="F34" i="17"/>
  <c r="G34" i="17" s="1"/>
  <c r="E12" i="86"/>
  <c r="E14" i="86" s="1"/>
  <c r="D12" i="86"/>
  <c r="F66" i="65"/>
  <c r="H68" i="96"/>
  <c r="I9" i="101"/>
  <c r="I10" i="101" s="1"/>
  <c r="I11" i="101" s="1"/>
  <c r="I12" i="101" s="1"/>
  <c r="I13" i="101" s="1"/>
  <c r="I14" i="101" s="1"/>
  <c r="I15" i="101" s="1"/>
  <c r="I16" i="101" s="1"/>
  <c r="I17" i="101" s="1"/>
  <c r="I18" i="101" s="1"/>
  <c r="I19" i="101" s="1"/>
  <c r="I20" i="101" s="1"/>
  <c r="I21" i="101" s="1"/>
  <c r="I22" i="101" s="1"/>
  <c r="I23" i="101" s="1"/>
  <c r="I24" i="101" s="1"/>
  <c r="I25" i="101" s="1"/>
  <c r="I26" i="101" s="1"/>
  <c r="I27" i="101" s="1"/>
  <c r="I28" i="101" s="1"/>
  <c r="I29" i="101" s="1"/>
  <c r="I30" i="101" s="1"/>
  <c r="I31" i="101" s="1"/>
  <c r="I32" i="101" s="1"/>
  <c r="I33" i="101" s="1"/>
  <c r="I34" i="101" s="1"/>
  <c r="I35" i="101" s="1"/>
  <c r="I36" i="101" s="1"/>
  <c r="I37" i="101" s="1"/>
  <c r="I38" i="101" s="1"/>
  <c r="I39" i="101" s="1"/>
  <c r="I40" i="101" s="1"/>
  <c r="I41" i="101" s="1"/>
  <c r="I42" i="101" s="1"/>
  <c r="F32" i="17"/>
  <c r="G32" i="17" s="1"/>
  <c r="H56" i="96"/>
  <c r="H44" i="96"/>
  <c r="E10" i="105"/>
  <c r="E11" i="105" s="1"/>
  <c r="E12" i="105" s="1"/>
  <c r="E13" i="105" s="1"/>
  <c r="E14" i="105" s="1"/>
  <c r="E15" i="105" s="1"/>
  <c r="E16" i="105" s="1"/>
  <c r="E17" i="105" s="1"/>
  <c r="E18" i="105" s="1"/>
  <c r="E19" i="105" s="1"/>
  <c r="E20" i="105" s="1"/>
  <c r="E21" i="105" s="1"/>
  <c r="D58" i="138"/>
  <c r="H30" i="127"/>
  <c r="H23" i="120"/>
  <c r="F14" i="72" s="1"/>
  <c r="G34" i="142"/>
  <c r="H23" i="97"/>
  <c r="F18" i="18" s="1"/>
  <c r="H74" i="65" l="1"/>
  <c r="E11" i="122"/>
  <c r="F14" i="108"/>
  <c r="J28" i="17" s="1"/>
  <c r="I30" i="75"/>
  <c r="F11" i="72" s="1"/>
  <c r="D14" i="122"/>
  <c r="H30" i="17" s="1"/>
  <c r="H66" i="65"/>
  <c r="H29" i="121"/>
  <c r="H48" i="65"/>
  <c r="H31" i="79"/>
  <c r="E17" i="72"/>
  <c r="I23" i="17" s="1"/>
  <c r="E14" i="103"/>
  <c r="I27" i="17" s="1"/>
  <c r="I9" i="2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I52" i="21" s="1"/>
  <c r="I53" i="21" s="1"/>
  <c r="I54" i="21" s="1"/>
  <c r="I55" i="21" s="1"/>
  <c r="I56" i="21" s="1"/>
  <c r="F13" i="169"/>
  <c r="H57" i="65"/>
  <c r="H29" i="49"/>
  <c r="H28" i="17"/>
  <c r="F44" i="71"/>
  <c r="E15" i="18" s="1"/>
  <c r="E36" i="18" s="1"/>
  <c r="I16" i="17" s="1"/>
  <c r="H44" i="20"/>
  <c r="F44" i="20"/>
  <c r="D77" i="65"/>
  <c r="D15" i="98"/>
  <c r="H17" i="17" s="1"/>
  <c r="D16" i="34"/>
  <c r="G16" i="34" s="1"/>
  <c r="K19" i="17" s="1"/>
  <c r="I40" i="37"/>
  <c r="F11" i="34" s="1"/>
  <c r="I44" i="94"/>
  <c r="F11" i="91" s="1"/>
  <c r="D23" i="80"/>
  <c r="G23" i="80" s="1"/>
  <c r="K14" i="17" s="1"/>
  <c r="F12" i="86"/>
  <c r="D19" i="128"/>
  <c r="G19" i="128" s="1"/>
  <c r="K15" i="17" s="1"/>
  <c r="H40" i="65"/>
  <c r="H28" i="68"/>
  <c r="E38" i="29"/>
  <c r="I24" i="17" s="1"/>
  <c r="G15" i="159"/>
  <c r="K33" i="17" s="1"/>
  <c r="D38" i="29"/>
  <c r="H24" i="17" s="1"/>
  <c r="F10" i="149"/>
  <c r="E14" i="149"/>
  <c r="I21" i="17" s="1"/>
  <c r="E14" i="113"/>
  <c r="I29" i="17" s="1"/>
  <c r="F77" i="65"/>
  <c r="F15" i="18"/>
  <c r="E23" i="80"/>
  <c r="I14" i="17" s="1"/>
  <c r="D17" i="44"/>
  <c r="H20" i="17" s="1"/>
  <c r="H58" i="138"/>
  <c r="I58" i="21"/>
  <c r="F11" i="18" s="1"/>
  <c r="H83" i="96"/>
  <c r="D17" i="91"/>
  <c r="G17" i="91" s="1"/>
  <c r="K26" i="17" s="1"/>
  <c r="G16" i="23"/>
  <c r="K22" i="17" s="1"/>
  <c r="I18" i="17"/>
  <c r="F14" i="59"/>
  <c r="J18" i="17" s="1"/>
  <c r="F58" i="138"/>
  <c r="G14" i="122"/>
  <c r="K30" i="17" s="1"/>
  <c r="D14" i="86"/>
  <c r="G14" i="86" s="1"/>
  <c r="I23" i="62"/>
  <c r="F11" i="59" s="1"/>
  <c r="H32" i="157"/>
  <c r="F15" i="44"/>
  <c r="D17" i="51"/>
  <c r="H25" i="17" s="1"/>
  <c r="D36" i="18"/>
  <c r="G48" i="17"/>
  <c r="G17" i="44"/>
  <c r="K20" i="17" s="1"/>
  <c r="I30" i="162"/>
  <c r="F11" i="159" s="1"/>
  <c r="E11" i="159"/>
  <c r="E15" i="159" s="1"/>
  <c r="E11" i="98"/>
  <c r="E15" i="98" s="1"/>
  <c r="I44" i="101"/>
  <c r="F11" i="98" s="1"/>
  <c r="H32" i="17"/>
  <c r="I32" i="26"/>
  <c r="F11" i="23" s="1"/>
  <c r="E11" i="23"/>
  <c r="E16" i="23" s="1"/>
  <c r="D14" i="149"/>
  <c r="F12" i="149"/>
  <c r="I44" i="83"/>
  <c r="F11" i="80" s="1"/>
  <c r="F48" i="17"/>
  <c r="D3" i="17" s="1"/>
  <c r="E11" i="139"/>
  <c r="E18" i="139" s="1"/>
  <c r="I32" i="17" s="1"/>
  <c r="I34" i="142"/>
  <c r="F11" i="139" s="1"/>
  <c r="F12" i="169"/>
  <c r="D15" i="169"/>
  <c r="H27" i="17"/>
  <c r="F14" i="103"/>
  <c r="J27" i="17" s="1"/>
  <c r="I38" i="32"/>
  <c r="F11" i="29" s="1"/>
  <c r="E11" i="128"/>
  <c r="E19" i="128" s="1"/>
  <c r="I15" i="17" s="1"/>
  <c r="I38" i="131"/>
  <c r="F11" i="128" s="1"/>
  <c r="E11" i="169"/>
  <c r="E15" i="169" s="1"/>
  <c r="I34" i="17" s="1"/>
  <c r="I23" i="172"/>
  <c r="F11" i="169" s="1"/>
  <c r="H23" i="17"/>
  <c r="F12" i="113"/>
  <c r="D14" i="113"/>
  <c r="D14" i="133"/>
  <c r="I48" i="54"/>
  <c r="F11" i="51" s="1"/>
  <c r="H27" i="57"/>
  <c r="F14" i="44"/>
  <c r="E14" i="122"/>
  <c r="I26" i="106"/>
  <c r="F11" i="103" s="1"/>
  <c r="H77" i="65" l="1"/>
  <c r="F17" i="72"/>
  <c r="J23" i="17" s="1"/>
  <c r="F14" i="86"/>
  <c r="G15" i="98"/>
  <c r="K17" i="17" s="1"/>
  <c r="H19" i="17"/>
  <c r="F16" i="34"/>
  <c r="J19" i="17" s="1"/>
  <c r="H14" i="17"/>
  <c r="H15" i="17"/>
  <c r="E6" i="17"/>
  <c r="G38" i="29"/>
  <c r="K24" i="17" s="1"/>
  <c r="F38" i="29"/>
  <c r="J24" i="17" s="1"/>
  <c r="H26" i="17"/>
  <c r="F23" i="80"/>
  <c r="J14" i="17" s="1"/>
  <c r="F17" i="44"/>
  <c r="J20" i="17" s="1"/>
  <c r="F17" i="91"/>
  <c r="J26" i="17" s="1"/>
  <c r="F17" i="51"/>
  <c r="J25" i="17" s="1"/>
  <c r="G17" i="51"/>
  <c r="K25" i="17" s="1"/>
  <c r="F36" i="18"/>
  <c r="J16" i="17" s="1"/>
  <c r="F18" i="139"/>
  <c r="J32" i="17" s="1"/>
  <c r="G36" i="18"/>
  <c r="K16" i="17" s="1"/>
  <c r="H16" i="17"/>
  <c r="F14" i="113"/>
  <c r="J29" i="17" s="1"/>
  <c r="H29" i="17"/>
  <c r="G14" i="113"/>
  <c r="K29" i="17" s="1"/>
  <c r="F15" i="169"/>
  <c r="J34" i="17" s="1"/>
  <c r="H34" i="17"/>
  <c r="G15" i="169"/>
  <c r="K34" i="17" s="1"/>
  <c r="I30" i="17"/>
  <c r="F14" i="122"/>
  <c r="J30" i="17" s="1"/>
  <c r="I17" i="17"/>
  <c r="F15" i="98"/>
  <c r="J17" i="17" s="1"/>
  <c r="I33" i="17"/>
  <c r="F15" i="159"/>
  <c r="J33" i="17" s="1"/>
  <c r="F19" i="128"/>
  <c r="J15" i="17" s="1"/>
  <c r="F14" i="149"/>
  <c r="J21" i="17" s="1"/>
  <c r="G14" i="149"/>
  <c r="K21" i="17" s="1"/>
  <c r="H21" i="17"/>
  <c r="H31" i="17"/>
  <c r="F14" i="133"/>
  <c r="J31" i="17" s="1"/>
  <c r="G14" i="133"/>
  <c r="K31" i="17" s="1"/>
  <c r="I22" i="17"/>
  <c r="F16" i="23"/>
  <c r="J22" i="17" s="1"/>
  <c r="H48" i="17" l="1"/>
  <c r="E7" i="17" s="1"/>
  <c r="E8" i="17" s="1"/>
  <c r="J48" i="17"/>
  <c r="K48" i="17"/>
  <c r="I48" i="17"/>
  <c r="K51" i="17" l="1"/>
  <c r="F26" i="61" l="1"/>
  <c r="F27" i="61" s="1"/>
  <c r="D26" i="61" l="1"/>
  <c r="D27" i="61" s="1"/>
  <c r="H26" i="61" l="1"/>
  <c r="H27" i="61" s="1"/>
  <c r="D26" i="151" l="1"/>
  <c r="D27" i="151" s="1"/>
  <c r="F26" i="151"/>
  <c r="H26" i="151" l="1"/>
  <c r="H27" i="151" s="1"/>
  <c r="F27" i="151"/>
  <c r="D26" i="58" l="1"/>
  <c r="D27" i="58" s="1"/>
  <c r="F26" i="58"/>
  <c r="F27" i="58" s="1"/>
  <c r="F25" i="168" l="1"/>
  <c r="H25" i="168" l="1"/>
  <c r="H26" i="168" s="1"/>
  <c r="F26" i="168"/>
  <c r="F26" i="174" l="1"/>
  <c r="F27" i="174" s="1"/>
  <c r="D26" i="174"/>
  <c r="D27" i="174" s="1"/>
  <c r="H26" i="174" l="1"/>
  <c r="H27" i="1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45E08098-9FF4-4992-9556-600DAFFD6E60}">
      <text>
        <r>
          <rPr>
            <b/>
            <sz val="11"/>
            <color indexed="81"/>
            <rFont val="Tahoma"/>
            <family val="2"/>
          </rPr>
          <t>Huggins, Joni [DAS]:</t>
        </r>
        <r>
          <rPr>
            <sz val="11"/>
            <color indexed="81"/>
            <rFont val="Tahoma"/>
            <family val="2"/>
          </rPr>
          <t xml:space="preserve">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465DA72-723C-4301-A9F4-E81FD99D9B6E}">
      <text>
        <r>
          <rPr>
            <b/>
            <sz val="11"/>
            <color indexed="81"/>
            <rFont val="Tahoma"/>
            <family val="2"/>
          </rPr>
          <t>Huggins, Joni [DAS]:</t>
        </r>
        <r>
          <rPr>
            <sz val="11"/>
            <color indexed="81"/>
            <rFont val="Tahoma"/>
            <family val="2"/>
          </rPr>
          <t xml:space="preserve">
Trower, James
2:57 PM (0 minutes ago)
to me
Joni -
Please increase PM Time by $300,000 for project 9429.00 (DA25).
Thanks,
James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7" authorId="0" shapeId="0" xr:uid="{2ED99FFC-1C90-4620-9039-BF3C197617ED}">
      <text>
        <r>
          <rPr>
            <b/>
            <sz val="11"/>
            <color indexed="81"/>
            <rFont val="Tahoma"/>
            <family val="2"/>
          </rPr>
          <t>Huggins, Joni [DAS]:</t>
        </r>
        <r>
          <rPr>
            <sz val="11"/>
            <color indexed="81"/>
            <rFont val="Tahoma"/>
            <family val="2"/>
          </rPr>
          <t xml:space="preserve">
e: HHS ANK IMEO Expansion and Renovation: Action Required for Subcontractor Invoice #5: Terracon Consultants, Inc.
$Joni
Trower, James
9:31 AM (18 minutes ago)
to me
Finance -
Please close the contract.
James
On Fri, Jan 2, 2026 at 2:08 PM Finance Payables Infrastructure, DAS &lt;dasfinanceinfrastructure@iowa.gov&gt; wrote:
Hi James 
Is this invoice closing out PO 33526119900?
It leaves a remainder of $1.75
Thank you for your time
~Joni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2" authorId="0" shapeId="0" xr:uid="{3F9E6232-2D9F-4091-9CD9-D3EFB2D9FF7B}">
      <text>
        <r>
          <rPr>
            <b/>
            <sz val="11"/>
            <color indexed="81"/>
            <rFont val="Tahoma"/>
            <family val="2"/>
          </rPr>
          <t>Huggins, Joni [DAS]:</t>
        </r>
        <r>
          <rPr>
            <sz val="11"/>
            <color indexed="81"/>
            <rFont val="Tahoma"/>
            <family val="2"/>
          </rPr>
          <t xml:space="preserve">
Re: 9429.00 - HHS ANK IMEO Expansion and Renovation - Close contract
$Joni
Trower, James
9:01 AM (6 minutes ago)
to me
Terracon; they are on master agreement.
Thanks,
James
On Thu, Apr 2, 2026 at 7:25 AM Finance Payables Infrastructure, DAS &lt;dasfinanceinfrastructure@iowa.gov&gt; wrote:
James,
What vendor is this for?  
~Joni
On Wed, Apr 1, 2026 at 9:51 AM Trower, James &lt;james.trower@iowa.gov&gt; wrote:
Finance -
Contract #DO-9429.00-006:
Invoice #1 is final; please close.
Thanks,
James Trower, Licensed Architect, LEED AP</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7BC8AD7-D15F-45B6-8C08-8D1DCDB2B1BB}">
      <text>
        <r>
          <rPr>
            <b/>
            <sz val="11"/>
            <color indexed="81"/>
            <rFont val="Tahoma"/>
            <family val="2"/>
          </rPr>
          <t>Huggins, Joni [DAS]:</t>
        </r>
        <r>
          <rPr>
            <sz val="11"/>
            <color indexed="81"/>
            <rFont val="Tahoma"/>
            <family val="2"/>
          </rPr>
          <t xml:space="preserve">
DAS Cost Budget Increases
$Joni
Kleene, Jennifer
9:49 AM (2 minutes ago)
to me
Please increase the DAS Cost budget for MM24 9277.00 by $3,000.00
Please increase the DAS Cost budget for DA26 9480.01 by $2,000.00
Please increase the DAS Cost budget for DA25 9433.00 by $1,000.00
Re: February PM Time Posted
Inbox
Kleene, Jennifer
3:25 PM (0 minutes ago)
to me
Please increase the PM Time budgets as follows:
Increase 566A 9413.00 by $6,000.00
Increase DA25 9433.00 by $47.35
Increase MM23 9279.20 by $4.62
Regards,
Jennifer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9" authorId="0" shapeId="0" xr:uid="{75918F00-CDF3-4831-B0F3-D1A9B749A05B}">
      <text>
        <r>
          <rPr>
            <b/>
            <sz val="11"/>
            <color indexed="81"/>
            <rFont val="Tahoma"/>
            <family val="2"/>
          </rPr>
          <t>Huggins, Joni [DAS]:</t>
        </r>
        <r>
          <rPr>
            <sz val="11"/>
            <color indexed="81"/>
            <rFont val="Tahoma"/>
            <family val="2"/>
          </rPr>
          <t xml:space="preserve">
Fwd: WRC 9433.00 Cottage Siding Replacements - Billing
$Joni
Kleene, Jennifer
3:18 PM (4 minutes ago)
to me
Please see below, DA25 9433.00 PO 33526126902A may be closed because Story has no further invoices.
Regards,
Jennifer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6400-000001000000}">
      <text>
        <r>
          <rPr>
            <b/>
            <sz val="9"/>
            <color indexed="81"/>
            <rFont val="Tahoma"/>
            <family val="2"/>
          </rPr>
          <t>Huggins, Joni [DAS]:</t>
        </r>
        <r>
          <rPr>
            <sz val="9"/>
            <color indexed="81"/>
            <rFont val="Tahoma"/>
            <family val="2"/>
          </rPr>
          <t xml:space="preserve">
9466.00 - PM Time Budget
$Joni
Elliott, Jennie
12:19 PM (1 hour ago)
to me
Please establish PM Time budget in 9466.00 DA25 as $13,500
Thank you,
Jennie Elliott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6A00-000001000000}">
      <text>
        <r>
          <rPr>
            <b/>
            <sz val="9"/>
            <color indexed="81"/>
            <rFont val="Tahoma"/>
            <family val="2"/>
          </rPr>
          <t>Jurgenson, John [DAS]:</t>
        </r>
        <r>
          <rPr>
            <sz val="9"/>
            <color indexed="81"/>
            <rFont val="Tahoma"/>
            <family val="2"/>
          </rPr>
          <t xml:space="preserve">
Re: PM Time
Inbox
Elliott, Jennie
2:21 PM (0 minutes ago)
to me
Please use $5,000 for PM time budget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7400-000001000000}">
      <text>
        <r>
          <rPr>
            <b/>
            <sz val="11"/>
            <color indexed="81"/>
            <rFont val="Tahoma"/>
            <family val="2"/>
          </rPr>
          <t>Huggins, Joni [DAS]:</t>
        </r>
        <r>
          <rPr>
            <sz val="11"/>
            <color indexed="81"/>
            <rFont val="Tahoma"/>
            <family val="2"/>
          </rPr>
          <t xml:space="preserve">
DAS Costs Budget for DA25 9470.00
$Joni
Kleene, Jennifer
Feb 20, 2025, 4:13 PM (15 hours ago)
to me
Please create a DAS Costs budget of $2000.00 for DA25 project 9470.00.
Regards,
Jennifer
Jennifer Kleene
Owner’s Representative
Please Close DA25 Project 9470.00 DOC 6JD IC Hope-Stratton Retaining Wall Repairs
$Joni
Kleene, Jennifer
11:42 AM (23 minutes ago)
to me, Brian, Cory, Rob
All invoices have been paid and all DAS costs have posted, so please close project 9470.00 and return the remaining $1,370.39 to DOC.
Regards,
Jennifer
Jennifer Kleene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300-000001000000}">
      <text>
        <r>
          <rPr>
            <b/>
            <sz val="11"/>
            <color indexed="81"/>
            <rFont val="Tahoma"/>
            <family val="2"/>
          </rPr>
          <t>Huggins, Joni [DAS]:</t>
        </r>
        <r>
          <rPr>
            <sz val="11"/>
            <color indexed="81"/>
            <rFont val="Tahoma"/>
            <family val="2"/>
          </rPr>
          <t xml:space="preserve">
Changes for PM Time
$Joni
Elliott, Jennie
May 4, 2025, 3:12 PM (15 hours ago)
to me
Can you please make the following change for PM time, thank you! 
9388.00 - Please increase PM Time in the "Contracted" line to $15,000.00
9401.00 - Please increase PM Time in the "Contracted" line to $9,000.00
9475.00 - Please Establish a PM Time budget of $7,500.00
9474.00 - Please Establish a PM Time budget of 
Re: 9475.00 - HHS CHMHI Fleet Garage Repairs - PM Time Budget Adjustment
Inbox
Elliott, Jennie
8:39 AM (7 minutes ago)
to me
Jesh, Apparently I should not have done Math yesterday.  This is my second math error yesterday.  
$6,000.00 please!  Put the "Contracted" line to $6,000 :)
Jennie Elliott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800-000001000000}">
      <text>
        <r>
          <rPr>
            <b/>
            <sz val="11"/>
            <color indexed="81"/>
            <rFont val="Tahoma"/>
            <family val="2"/>
          </rPr>
          <t>Huggins, Joni [DAS]:</t>
        </r>
        <r>
          <rPr>
            <sz val="11"/>
            <color indexed="81"/>
            <rFont val="Tahoma"/>
            <family val="2"/>
          </rPr>
          <t xml:space="preserve">
DAS Costs Budget for DA25 9476.00
$Joni
Kleene, Jennifer
8:09 AM (56 minutes ago)
to me
Please create a DAS Costs budget for $8,000.00 for 9476.00.
Regards,
Jennifer
Jennifer Kleene
DAS Cost Budget Increases
$Joni
Kleene, Jennifer
9:49 AM (2 minutes ago)
to me
Please increase the DAS Cost budget for MM24 9277.00 by $3,000.00
Please increase the DAS Cost budget for DA26 9480.01 by $2,000.00
Please increase the DAS Cost budget for DA25 9433.00 by $1,000.00
Please increase the DAS Cost budget for DA25 9476.00 by $500.00
Please close DA25 Project 9476.00
$Joni
Kleene, Jennifer
Feb 13, 2026, 3:32 PM (3 days ago)
to me, Geoff, Robert
All DAS costs have posted and all invoices have been paid, so please close the project, remove it from the billables sheet and return the remaining $183,023.24 to STS.
Regards,
Jennifer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0C00-000001000000}">
      <text>
        <r>
          <rPr>
            <b/>
            <sz val="9"/>
            <color indexed="81"/>
            <rFont val="Tahoma"/>
            <family val="2"/>
          </rPr>
          <t>Jurgenson, John [DAS]:</t>
        </r>
        <r>
          <rPr>
            <sz val="9"/>
            <color indexed="81"/>
            <rFont val="Tahoma"/>
            <family val="2"/>
          </rPr>
          <t xml:space="preserve">
Re: April PM Time
Inbox
Tonyan, Brad
1:47 PM (0 minutes ago)
to me
Joni and Finance,
For now please set up the PM time budget for $10,000.
Thank you,
Brad Tonyan, CPM, LEED Green Associate
Owner Representative
General Services Enterprise
Iowa Department of Administrative Services
109 SE 13th Street, Des Moines, IA 50319
515-360-7718 mobile
brad.tonyan@iowa.gov
https://das.iowa.gov
On Tue, May 20, 2025 at 1:10 PM Finance Payables Infrastructure, DAS &lt;dasfinanceinfrastructure@iowa.gov&gt; wrote:
Hi Brad
I missed DA25 9239.03 is short -585.32
There isn't budget set
~Joni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D00-000001000000}">
      <text>
        <r>
          <rPr>
            <b/>
            <sz val="11"/>
            <color indexed="81"/>
            <rFont val="Tahoma"/>
            <family val="2"/>
          </rPr>
          <t>Huggins, Joni [DAS]:</t>
        </r>
        <r>
          <rPr>
            <sz val="11"/>
            <color indexed="81"/>
            <rFont val="Tahoma"/>
            <family val="2"/>
          </rPr>
          <t xml:space="preserve">
Kleene, Jennifer
Sun, Jul 13, 4:47 PM (13 hours ago)
to me
Please create a DAS Costs Budget of $4,000.00 for DA25 9480.00.
Please increase the budget for MM23 9294.00 by $160.05.
Regards,
Jennifer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1200-000001000000}">
      <text>
        <r>
          <rPr>
            <b/>
            <sz val="9"/>
            <color indexed="81"/>
            <rFont val="Tahoma"/>
            <family val="2"/>
          </rPr>
          <t>Jurgenson, John [DAS]:</t>
        </r>
        <r>
          <rPr>
            <sz val="9"/>
            <color indexed="81"/>
            <rFont val="Tahoma"/>
            <family val="2"/>
          </rPr>
          <t xml:space="preserve">
Kleene, Jennifer
Aug 8, 2024, 4:37 PM (14 hours ago)
to me, DAS
Please set up the DAS Costs budget for DA25 9279.40 for $127,079.00.
Regards,
Jennifer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2500-000001000000}">
      <text>
        <r>
          <rPr>
            <b/>
            <sz val="9"/>
            <color indexed="81"/>
            <rFont val="Tahoma"/>
            <family val="2"/>
          </rPr>
          <t>Jurgenson, John [DAS]:</t>
        </r>
        <r>
          <rPr>
            <sz val="9"/>
            <color indexed="81"/>
            <rFont val="Tahoma"/>
            <family val="2"/>
          </rPr>
          <t xml:space="preserve">
Re: PM Time
Inbox
Kleene, Jennifer
2:28 PM (1 minute ago)
to me
My apologies, please create a PM Time budget for $8,000.00 for 9279.41.
Regards,
Jennifer
DAS Cost Budget Increases
$Joni
Kleene, Jennifer
9:49 AM (4 minutes ago)
to me
Please increase the DAS Cost budget for MM24 9277.00 by $3,000.00
Please increase the DAS Cost budget for DA26 9480.01 by $2,000.00
Please increase the DAS Cost budget for DA25 9433.00 by $1,000.00
Please increase the DAS Cost budget for DA25 9476.00 by $500.00
Please increase the DAS Cost budget for DA25 9279.41 by $1,000.00
Regards,
Jennifer
DA25 9279.41 DAS Cost Budget Adjustments
$Joni
Kleene, Jennifer
Fri, Mar 6, 1:03 PM (3 days ago)
to me
Please increase the PM Time budget for DA25 9279.41 I by $1,500.00.
Regards,
Jennifer
Jennifer Kleene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2B00-000001000000}">
      <text>
        <r>
          <rPr>
            <b/>
            <sz val="11"/>
            <color indexed="81"/>
            <rFont val="Tahoma"/>
            <family val="2"/>
          </rPr>
          <t>Huggins, Joni [DAS]:</t>
        </r>
        <r>
          <rPr>
            <sz val="11"/>
            <color indexed="81"/>
            <rFont val="Tahoma"/>
            <family val="2"/>
          </rPr>
          <t xml:space="preserve">
DA25 Project 9294.00 DHS WRC Fire Alarm System Replacement Phase 1
$Joni
Kleene, Jennifer
Sun, Jul 20, 4:24 PM (16 hours ago)
to me, Lucas
All invoices have been paid and all DAS costs have posted, so please close DA25 project 9294.00 and return the remaining $709.22 to HHS.
Regards,
Jennifer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000-000001000000}">
      <text>
        <r>
          <rPr>
            <b/>
            <sz val="11"/>
            <color indexed="81"/>
            <rFont val="Tahoma"/>
            <family val="2"/>
          </rPr>
          <t>Huggins, Joni [DAS]:</t>
        </r>
        <r>
          <rPr>
            <sz val="11"/>
            <color indexed="81"/>
            <rFont val="Tahoma"/>
            <family val="2"/>
          </rPr>
          <t xml:space="preserve">
Kleene, Jennifer
3:21 PM (8 minutes ago)
to me, Oliver
Please make the following budget changes and let me know if you have any questions.
MM23 9279.20 increase the PM Time budget by $2000.00
MM23 9268.01 increase the PM Time budget by $2000.00
Please also create a DAS Costs budget for $3,057.50 in DA25 9358.01. This is where our billing will need to switch to once the available funds in DA24 9358.00 are exhausted.
Regards,
Jennifer
Jennifer Kleene
DA25
9358.01 - Please increase PM Time budget by $2,000.00
Thank you very much, I've contacted Iowa Department of Revenue regarding providing the funds for project 9492.00 as quickly as possible let me know if I can help further.
Oliver Shimp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Shimp, Oliver
11:40 AM (1 minute ago)
to me
Could you please move $2,000.00 of this unallocated budget to the PM time code? for 9358.01 DA25
Thank you,
Oliver
--
Oliver Shimp, PE
Shimp, Oliver
11:13 AM (9 minutes ago)
to me
Good Morning Joni,
Thank you for the reminder about these.
Could you please make the below changes to these projects. I'll be in touch about the TerraCon invoice for DA 26 9482.00 shortly as well, thank you for your help!
Unit DA25 Program 935801  Please move $2,000.00 from Unallocated to PM Time
Unit DA26 Program 948200 I will follow up on this project. Additional MOU funds are needed, but IDB now uses DAS finance, it's unclear if MOU is the appropriate process still
Unit MM23 Program 940400  Please move $600.00 from the unallocated to  PM Time
Unit MM25 Program 945100  Please move $2,000.00 from unallocated to PM Time
Unit X674 Program 947200  Please Move $2,000.00 from unallocated to PM Time.
Thank you,
Oliver Shimp
Re: February PM Time Posted
$Joni
Shimp, Oliver
Mar 13, 2026, 8:26 AM (3 days ago)
to me
Good Morning, 
Thank for you the list, could you please make the following adjustments?
DA25 9358.01  $(361.98)
Please move $5,000.00 from unallocated to PM Time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700-000001000000}">
      <text>
        <r>
          <rPr>
            <b/>
            <sz val="11"/>
            <color indexed="81"/>
            <rFont val="Tahoma"/>
            <family val="2"/>
          </rPr>
          <t>Huggins, Joni [DAS]:</t>
        </r>
        <r>
          <rPr>
            <sz val="11"/>
            <color indexed="81"/>
            <rFont val="Tahoma"/>
            <family val="2"/>
          </rPr>
          <t xml:space="preserve">
Projects Closing
$Joni
Adams, Brandon
Apr 3, 2025, 10:36 AM (7 days ago)
to me
Finance,
Please close the following project PM Time once March hours post:
MM23 - 9250.00
MM22 - 9367.00
DA25 - 9360.01
All above projects will close after PM Time posts.
Regards,
Brandon Adams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400-000001000000}">
      <text>
        <r>
          <rPr>
            <b/>
            <sz val="9"/>
            <color indexed="81"/>
            <rFont val="Tahoma"/>
            <family val="2"/>
          </rPr>
          <t>Huggins, Joni [DAS]:</t>
        </r>
        <r>
          <rPr>
            <sz val="9"/>
            <color indexed="81"/>
            <rFont val="Tahoma"/>
            <family val="2"/>
          </rPr>
          <t xml:space="preserve">
PM Time Budget Changes
$Joni
Kleene, Jennifer
10:13 AM (1 hour ago)
to me, Scott
Please increase the PM Time Budgets as follows:
MM23 9294.01 increase by $3,740.00
DA25 9424.00 increase by $2,000.00
MM22 9244.00 increase by $2,000.00
MM22 9274.00 increase by $600.00
X674 9379.00 increase by $8,800.00
MM24 9391.00 increase by $8,800.00
Regards,
Jennifer
Please Close DA25 Project 9424.00 HHS STS Main Electrical Loop Revisions
$Joni
Kleene, Jennifer
11:30 AM (27 minutes ago)
to me, Geoff, Christopher, Robert
All invoices have been paid and all DAS costs have posted, so please close DA25 9424.00 and return the remaining $7,065.25 to HHS.
Regards,
Jennifer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B00-000001000000}">
      <text>
        <r>
          <rPr>
            <b/>
            <sz val="9"/>
            <color indexed="81"/>
            <rFont val="Tahoma"/>
            <family val="2"/>
          </rPr>
          <t>Huggins, Joni [DAS]:</t>
        </r>
        <r>
          <rPr>
            <sz val="9"/>
            <color indexed="81"/>
            <rFont val="Tahoma"/>
            <family val="2"/>
          </rPr>
          <t xml:space="preserve">
From: Kleene, Jennifer &lt;jennifer.kleene@iowa.gov&gt;
Date: Tue, Nov 12, 2024 at 7:48 AM
Subject: Re: October PM Time Posting Shortages
To: Huggins, Joni &lt;joni.huggins@iowa.gov&gt;
Sorry about that! Please increase the DAS Cost budgets as follows:
DA24  9377.00  Increase budget by $4,400.00
DA24  9378.00  Increase budget by $298.43
DA25  9245.01 Create a budget for $14,370.00
MM23 9279.20  Increase budget by $2200.00
Please Close DA25 Project 9425.01 HHS STS North Buildings HazMat Survey
$Joni
Kleene, Jennifer
Mon, Aug 4, 3:37 PM (15 hours ago)
to me, Geoff, Christopher
All invoices have been paid and all DAS costs have posted, so please close DA25 project 9425.01 and return the remaining $17,315.12 to HHS.
Regards,
Jennifer
Jennifer Kleene</t>
        </r>
      </text>
    </comment>
  </commentList>
</comments>
</file>

<file path=xl/sharedStrings.xml><?xml version="1.0" encoding="utf-8"?>
<sst xmlns="http://schemas.openxmlformats.org/spreadsheetml/2006/main" count="6376" uniqueCount="1839">
  <si>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</si>
  <si>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</si>
  <si>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</si>
  <si>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</si>
  <si>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</si>
  <si>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</si>
  <si>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</si>
  <si>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</si>
  <si>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</si>
  <si>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</si>
  <si>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</si>
  <si>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</si>
  <si>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</si>
  <si>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</si>
  <si>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</si>
  <si>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</si>
  <si>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</si>
  <si>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</si>
  <si>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</si>
  <si>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</si>
  <si>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</si>
  <si>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</si>
  <si>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</si>
  <si>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</si>
  <si>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</si>
  <si>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</si>
  <si>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</si>
  <si>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</si>
  <si>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</si>
  <si>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</si>
  <si>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</si>
  <si>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</si>
  <si>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</si>
  <si>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</si>
  <si>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</si>
  <si>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</si>
  <si>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</si>
  <si>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</si>
  <si>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</si>
  <si>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</si>
  <si>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</si>
  <si>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</si>
  <si>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</si>
  <si>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</si>
  <si>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</si>
  <si>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</si>
  <si>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</si>
  <si>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</si>
  <si>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</si>
  <si>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</si>
  <si>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</si>
  <si>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</si>
  <si>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</si>
  <si>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</si>
  <si>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</si>
  <si>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</si>
  <si>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</si>
  <si>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</si>
  <si>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</si>
  <si>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</si>
  <si>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</si>
  <si>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Acct. Codes-0506-335-DA25-xxxx</t>
  </si>
  <si>
    <t>DA25 (MOU) Projects</t>
  </si>
  <si>
    <t>DA25 (MOU) Totals</t>
  </si>
  <si>
    <t>Acct. Codes-0506-335-DA25</t>
  </si>
  <si>
    <t>Acct Code: 0506-335-DA25-xxxx</t>
  </si>
  <si>
    <r>
      <t>Acct. Codes-0506-335-DA25-</t>
    </r>
    <r>
      <rPr>
        <b/>
        <sz val="11"/>
        <color indexed="10"/>
        <rFont val="Arial"/>
        <family val="2"/>
      </rPr>
      <t>xxxx</t>
    </r>
  </si>
  <si>
    <t>9279.40</t>
  </si>
  <si>
    <t>Project # 9279.40</t>
  </si>
  <si>
    <t>Program code 927940</t>
  </si>
  <si>
    <t>Project Manager - Jennifer K.</t>
  </si>
  <si>
    <t>Major Program 4B02</t>
  </si>
  <si>
    <t>Jennifer K.</t>
  </si>
  <si>
    <t>MOU</t>
  </si>
  <si>
    <t>IET 405EL25184008</t>
  </si>
  <si>
    <t>HHS STS Main Electrical Loop Revisions</t>
  </si>
  <si>
    <t>Project # 9424.00</t>
  </si>
  <si>
    <t>Program code 942400</t>
  </si>
  <si>
    <t>Major Program 4E02</t>
  </si>
  <si>
    <t>9424.00</t>
  </si>
  <si>
    <t>ANK HHS IMEO Expansion and Renovation</t>
  </si>
  <si>
    <t>Project # 9429.00</t>
  </si>
  <si>
    <t>Program code 942900</t>
  </si>
  <si>
    <t>9429.00</t>
  </si>
  <si>
    <t>eDAS E2DZ</t>
  </si>
  <si>
    <t>eDAS E2DX</t>
  </si>
  <si>
    <t>eDAS E2DY</t>
  </si>
  <si>
    <t>9358.01</t>
  </si>
  <si>
    <t>ICN CC Lucas CRAC Replacement</t>
  </si>
  <si>
    <t>Program code 935801</t>
  </si>
  <si>
    <t>Major Program 4F02</t>
  </si>
  <si>
    <t>eDAS 909Q</t>
  </si>
  <si>
    <t>Budget</t>
  </si>
  <si>
    <t>James T.</t>
  </si>
  <si>
    <t>Project Manager - James T.</t>
  </si>
  <si>
    <t>IET MOUDECENT4FIREALARM3</t>
  </si>
  <si>
    <t xml:space="preserve">HHS WRC Campus Utility Decentralization Phase 4 &amp; Fire Alarm Phase 3 </t>
  </si>
  <si>
    <t>IPBS JOH 6450 Corporate Dr. Fire Alarm System Replacement</t>
  </si>
  <si>
    <t>Brandon A.</t>
  </si>
  <si>
    <t>Major Program 3E01</t>
  </si>
  <si>
    <t>9360.01</t>
  </si>
  <si>
    <t>Project # 9360.01</t>
  </si>
  <si>
    <t>Program code 936001</t>
  </si>
  <si>
    <t>Project Manager - Brandon A.</t>
  </si>
  <si>
    <t>IET 07292400008</t>
  </si>
  <si>
    <t>IET 072224KCL01SME</t>
  </si>
  <si>
    <t>PO 33525212900</t>
  </si>
  <si>
    <t>PO Procore</t>
  </si>
  <si>
    <t>Air-Con Electric</t>
  </si>
  <si>
    <t>Acct. Codes-0506-335-DA25-9255</t>
  </si>
  <si>
    <t>Vendor:  00003095844</t>
  </si>
  <si>
    <t>RFB 936000-02</t>
  </si>
  <si>
    <t>Activity code:  BRUM</t>
  </si>
  <si>
    <t>McGough Construction</t>
  </si>
  <si>
    <t>PO 33525212902</t>
  </si>
  <si>
    <t>Vendor:  00003193334</t>
  </si>
  <si>
    <t>Activity code:  CMGR</t>
  </si>
  <si>
    <t xml:space="preserve">CM Services </t>
  </si>
  <si>
    <t>Reimbursables</t>
  </si>
  <si>
    <t>Total</t>
  </si>
  <si>
    <t>RFP1821335228-McGough11012021</t>
  </si>
  <si>
    <t>eDAS E2E1</t>
  </si>
  <si>
    <t>IET 25EH022261</t>
  </si>
  <si>
    <t>Commonwealth Electric</t>
  </si>
  <si>
    <t>Vendor:  00002135378</t>
  </si>
  <si>
    <t>RFB935800-01</t>
  </si>
  <si>
    <t>PO 33525219900</t>
  </si>
  <si>
    <t>Project # 9358.01</t>
  </si>
  <si>
    <t>Central Iowa Mechanical</t>
  </si>
  <si>
    <t>Vendor:  00002109717</t>
  </si>
  <si>
    <t>PO 33525219901</t>
  </si>
  <si>
    <t>Funds Reversed for duplicate payment</t>
  </si>
  <si>
    <t>IET 400EL25220020</t>
  </si>
  <si>
    <t>`</t>
  </si>
  <si>
    <t>IET DAS202501115300001</t>
  </si>
  <si>
    <t>Finance Support for July 1-31,2024</t>
  </si>
  <si>
    <t>DAS Services for July 1-31, 2024</t>
  </si>
  <si>
    <t>9433.00</t>
  </si>
  <si>
    <t>HHS WRC Cottage Siding Replacement</t>
  </si>
  <si>
    <t>Project # 9433.00</t>
  </si>
  <si>
    <t>Program code 943300</t>
  </si>
  <si>
    <t>eDAS  E2FQ</t>
  </si>
  <si>
    <t>IMEG Corporation</t>
  </si>
  <si>
    <t>Acct. Codes-0506-335-DA25-9260</t>
  </si>
  <si>
    <t>Vendor:  00003106665</t>
  </si>
  <si>
    <t>RFP942400-01</t>
  </si>
  <si>
    <t>Activity code:  DSGN</t>
  </si>
  <si>
    <t>PO 33525228900</t>
  </si>
  <si>
    <t>100% Construction Docs</t>
  </si>
  <si>
    <t>Bidding &amp; Negotiation</t>
  </si>
  <si>
    <t>Construction Phase</t>
  </si>
  <si>
    <t>DCI Group</t>
  </si>
  <si>
    <t>Vendor:  00003025029</t>
  </si>
  <si>
    <t>RFP1821335228-DCI11012021</t>
  </si>
  <si>
    <t>PO 33525208908</t>
  </si>
  <si>
    <t>Construction Management</t>
  </si>
  <si>
    <t>Reimbursable Expenses</t>
  </si>
  <si>
    <t>Construction Management Fee</t>
  </si>
  <si>
    <t>McGough Construction(2)</t>
  </si>
  <si>
    <t>KCL Engineering</t>
  </si>
  <si>
    <t>PO 33525283800</t>
  </si>
  <si>
    <t>Vendor:00002103747</t>
  </si>
  <si>
    <t>RFP936000-01</t>
  </si>
  <si>
    <t>PO 33525334912</t>
  </si>
  <si>
    <t>DA24(Closed 08/15/2024)</t>
  </si>
  <si>
    <t>Total Contract</t>
  </si>
  <si>
    <t>Inv. 101031.006-PC10-FINAL</t>
  </si>
  <si>
    <t>Moved PO From DA24</t>
  </si>
  <si>
    <t>PRC 3352528PJ3800</t>
  </si>
  <si>
    <t>FINAL</t>
  </si>
  <si>
    <t>C</t>
  </si>
  <si>
    <t>Shive Hattery</t>
  </si>
  <si>
    <t>Vendor:  00002108803</t>
  </si>
  <si>
    <t>RPF927900-01</t>
  </si>
  <si>
    <t>PO 33525236905</t>
  </si>
  <si>
    <t>Construction Docs</t>
  </si>
  <si>
    <t>Schematic Design Docs</t>
  </si>
  <si>
    <t>Birches Building Heating Decentralization</t>
  </si>
  <si>
    <t>Powerhouse Building Heating Decentralization</t>
  </si>
  <si>
    <t>Contract Total</t>
  </si>
  <si>
    <t>PRC 3352533PE4912</t>
  </si>
  <si>
    <t>Inv. 10476</t>
  </si>
  <si>
    <t>DHS WRC Fire Alarm System Replacement Phase 1</t>
  </si>
  <si>
    <t>9294.00</t>
  </si>
  <si>
    <t>Project # 9294.00</t>
  </si>
  <si>
    <t>Program code 929400</t>
  </si>
  <si>
    <t>Project Manager -Jennifer K.</t>
  </si>
  <si>
    <t>eDAS  729Y</t>
  </si>
  <si>
    <t>Story Construction</t>
  </si>
  <si>
    <t>Vendor:  00002110695</t>
  </si>
  <si>
    <t>927900-01</t>
  </si>
  <si>
    <t>PO 33525253900</t>
  </si>
  <si>
    <t>CM Services</t>
  </si>
  <si>
    <t>OPN Architects</t>
  </si>
  <si>
    <t>Vendor:  00003035830</t>
  </si>
  <si>
    <t>RFP935200-01</t>
  </si>
  <si>
    <t>PO 33525256900</t>
  </si>
  <si>
    <t>PRC 3352521PA2902</t>
  </si>
  <si>
    <t>Inv. 101031.006-01CA</t>
  </si>
  <si>
    <t>ATC Group Services</t>
  </si>
  <si>
    <t>Vendor:  00002134218</t>
  </si>
  <si>
    <t>MA00520262D</t>
  </si>
  <si>
    <t>Activity code:  CNST</t>
  </si>
  <si>
    <t>Tunnels</t>
  </si>
  <si>
    <t>Lead  $15 x 25</t>
  </si>
  <si>
    <t>Admin Hours $45 x 2</t>
  </si>
  <si>
    <t>Field Tech Hours $75 x 34</t>
  </si>
  <si>
    <t>Birches</t>
  </si>
  <si>
    <t>Lead  $15 x  60</t>
  </si>
  <si>
    <t>Admin Hours $45 x 3</t>
  </si>
  <si>
    <t>Field Tech Hours $75 x 30</t>
  </si>
  <si>
    <t>Powerhouse</t>
  </si>
  <si>
    <t>Linden A/B</t>
  </si>
  <si>
    <t>Linden C/D</t>
  </si>
  <si>
    <t>Chiller Plant</t>
  </si>
  <si>
    <t>PO 33525262901</t>
  </si>
  <si>
    <t>ATC Group</t>
  </si>
  <si>
    <t>IET DAS202502115300001</t>
  </si>
  <si>
    <t>Finance Support for August 1-31,2024</t>
  </si>
  <si>
    <t>DAS Services for August 1-31, 2024</t>
  </si>
  <si>
    <t>IET 405EL25262001</t>
  </si>
  <si>
    <t>Funds Rec'd Incorrect Unit</t>
  </si>
  <si>
    <t>IET 405EL25262002</t>
  </si>
  <si>
    <t>FY25 Funds Recv'd incorrect Unit</t>
  </si>
  <si>
    <t>FY25 Funds Moved from DA25 to DA24</t>
  </si>
  <si>
    <t>CDR 33525263901</t>
  </si>
  <si>
    <t>IET MOURETFUNDS9279.21</t>
  </si>
  <si>
    <t>CDR 33525263902</t>
  </si>
  <si>
    <t>FY25 Funds Moved from DA25 to DA23</t>
  </si>
  <si>
    <t>FY25 Funds Recv'd In Incorrect Unit - 9279.21</t>
  </si>
  <si>
    <t>FY25 Funds Recv'd In Incorrect Unit - 9425.00</t>
  </si>
  <si>
    <t>FY25 Funds Recv'd In Incorrect Unit - 9279.30</t>
  </si>
  <si>
    <t>IET MOURETFUNDS9279.30</t>
  </si>
  <si>
    <t xml:space="preserve">FY25 Funds Moved from DA25 to DA24 </t>
  </si>
  <si>
    <t>FY25 Funds Recv'd In Incorrect Unit - 9279.31</t>
  </si>
  <si>
    <t>IET MOURETFUNDS9279.31</t>
  </si>
  <si>
    <t>CDR 33525263903</t>
  </si>
  <si>
    <t>CDR 33525263904</t>
  </si>
  <si>
    <t>FY25 Funds Recv'd In Incorrect Unit - 9279.32</t>
  </si>
  <si>
    <t>IET MOURETFUNDS9279.32</t>
  </si>
  <si>
    <t>CDR 33525263905</t>
  </si>
  <si>
    <t>FY25 Funds Recv'd In Incorrect Unit - 9345.00</t>
  </si>
  <si>
    <t>IET MOURETFUNDS9345.00</t>
  </si>
  <si>
    <t>CDR 33525263906</t>
  </si>
  <si>
    <t>FY25 Funds Recv'd to a Closed Program - 9399.00</t>
  </si>
  <si>
    <t>IET MOURETFUNDS9399.00</t>
  </si>
  <si>
    <t>FY25 Funds Return to Agency</t>
  </si>
  <si>
    <t>IET 33525263907</t>
  </si>
  <si>
    <t>IET MOUPROJ943300</t>
  </si>
  <si>
    <t>RFP1821335228-Story11012021</t>
  </si>
  <si>
    <t>PO 33525270903</t>
  </si>
  <si>
    <t>Genesis Architectural</t>
  </si>
  <si>
    <t>Vendor:  00002092152</t>
  </si>
  <si>
    <t>SRVV5</t>
  </si>
  <si>
    <t>PO 33525270904</t>
  </si>
  <si>
    <t>Design Development Docs</t>
  </si>
  <si>
    <t>Bidding Assistance</t>
  </si>
  <si>
    <t>IET MOUPROJ929400</t>
  </si>
  <si>
    <t>PO 33525276910</t>
  </si>
  <si>
    <t>PRC 3352521PA2900</t>
  </si>
  <si>
    <t>Inv. 1794</t>
  </si>
  <si>
    <t>Retainage</t>
  </si>
  <si>
    <t>K&amp;W Electric</t>
  </si>
  <si>
    <t>RFB942400-01</t>
  </si>
  <si>
    <t>PO 33525278901</t>
  </si>
  <si>
    <t>Vendor:  00002114444</t>
  </si>
  <si>
    <t>Shive Hattery (2)</t>
  </si>
  <si>
    <t>PO 33525282904</t>
  </si>
  <si>
    <t>Linden Court Heating Decentralization</t>
  </si>
  <si>
    <t xml:space="preserve">Linden Court Living Units Fire Alarm </t>
  </si>
  <si>
    <t>PRC 3352522PA8900</t>
  </si>
  <si>
    <t>Inv. 24004598.00-1</t>
  </si>
  <si>
    <t>PRC 3352521PB2902</t>
  </si>
  <si>
    <t>Inv. 101031.006-02CA</t>
  </si>
  <si>
    <t>IET DAS202503115300001</t>
  </si>
  <si>
    <t>Van Maanen</t>
  </si>
  <si>
    <t>Vendor:  00002091370</t>
  </si>
  <si>
    <t>927920-01</t>
  </si>
  <si>
    <t>Split w/MM23</t>
  </si>
  <si>
    <t>PO 33525073801</t>
  </si>
  <si>
    <t>CO #5</t>
  </si>
  <si>
    <t>MM23</t>
  </si>
  <si>
    <t>PRC 3352533PF4912</t>
  </si>
  <si>
    <t>Inv. 10739</t>
  </si>
  <si>
    <t>9425.01</t>
  </si>
  <si>
    <t>HHS STS North Buildings HazMat Remediation</t>
  </si>
  <si>
    <t>HHS STS North Buildings HazMat Survey</t>
  </si>
  <si>
    <t>Project # 9425.01</t>
  </si>
  <si>
    <t>Program code 942501</t>
  </si>
  <si>
    <t>eDAS 910O</t>
  </si>
  <si>
    <t>PRC 3352525PA3900</t>
  </si>
  <si>
    <t>Inv. 34569</t>
  </si>
  <si>
    <t>IET 405EL25295008</t>
  </si>
  <si>
    <t xml:space="preserve">Finance Support for September 1-30,2024 </t>
  </si>
  <si>
    <t>DAS Services for September 1-30,2024</t>
  </si>
  <si>
    <t>OPN Architects (2)</t>
  </si>
  <si>
    <t>PO 33525309904</t>
  </si>
  <si>
    <t>Site Survey</t>
  </si>
  <si>
    <t>Schematic Design</t>
  </si>
  <si>
    <t>Design Development</t>
  </si>
  <si>
    <t>Bidding</t>
  </si>
  <si>
    <t>CO #1</t>
  </si>
  <si>
    <t>PRC 3352523PA6905</t>
  </si>
  <si>
    <t>Inv. 2240007040-201</t>
  </si>
  <si>
    <t>PRC 3352528PA2904</t>
  </si>
  <si>
    <t>Inv. 2240007040-101</t>
  </si>
  <si>
    <t>PRC 3352521PB2900</t>
  </si>
  <si>
    <t>Inv. 1806</t>
  </si>
  <si>
    <t>PO 33525312905</t>
  </si>
  <si>
    <t>Shipping Code 200</t>
  </si>
  <si>
    <t>Weitz Company</t>
  </si>
  <si>
    <t>Vendor:  00003223486</t>
  </si>
  <si>
    <t>PO 33525313900</t>
  </si>
  <si>
    <t>Shipping Code: S24</t>
  </si>
  <si>
    <t>IET DAS202504115300001</t>
  </si>
  <si>
    <t xml:space="preserve">Finance Support for October 1-31,2024 </t>
  </si>
  <si>
    <t>DAS Services for October 1-31,2024</t>
  </si>
  <si>
    <t>PRC 3352521PC2902</t>
  </si>
  <si>
    <t>Inv. 101031.006-03CA</t>
  </si>
  <si>
    <t>ATC Group V#(00002134218)</t>
  </si>
  <si>
    <t>Inv. 2609433</t>
  </si>
  <si>
    <t>9500</t>
  </si>
  <si>
    <t>CNST</t>
  </si>
  <si>
    <t>PRC 33525318912</t>
  </si>
  <si>
    <t>PO 33525320906</t>
  </si>
  <si>
    <t>Line 3 Lead Samples 5@$15ea</t>
  </si>
  <si>
    <t>Line  2 Asbestos Samples 5@$10 ea</t>
  </si>
  <si>
    <t>Line 5 Admin Hourly 11@$45ea</t>
  </si>
  <si>
    <t>PRC 3352527PA0903</t>
  </si>
  <si>
    <t>Inv. 34614</t>
  </si>
  <si>
    <t>PRC 3352527PA6910</t>
  </si>
  <si>
    <t>Inv. 101174.012-CA01</t>
  </si>
  <si>
    <t>PRC 3352525PB3900</t>
  </si>
  <si>
    <t>Inv. 34613</t>
  </si>
  <si>
    <t>Shipping Code:  200</t>
  </si>
  <si>
    <t>PRC 3352520PA8908</t>
  </si>
  <si>
    <t>Please add a letter at the end</t>
  </si>
  <si>
    <t>PRC 3352533PG4912</t>
  </si>
  <si>
    <t>Inv. 10928</t>
  </si>
  <si>
    <t>PRC 3352530PA9904</t>
  </si>
  <si>
    <t>Inv. 23825001-1</t>
  </si>
  <si>
    <t>PRC 3352525PA6900</t>
  </si>
  <si>
    <t>Inv. 23825001-1A</t>
  </si>
  <si>
    <t>IET DAS202505115300001</t>
  </si>
  <si>
    <t>Finance Support for November 1-30 2024</t>
  </si>
  <si>
    <t>DAS Support for November 1-30 2024</t>
  </si>
  <si>
    <t>PRC 3352523PB6905</t>
  </si>
  <si>
    <t>Inv. 2240007040-102</t>
  </si>
  <si>
    <t>PRC 3352528PB2904</t>
  </si>
  <si>
    <t>Inv. 2240007040-202</t>
  </si>
  <si>
    <t>IET 400KDH121324001</t>
  </si>
  <si>
    <t>MOU Amendment #1</t>
  </si>
  <si>
    <t>PRC 3352527PB0903</t>
  </si>
  <si>
    <t>Inv. 34663</t>
  </si>
  <si>
    <t>PRC 3352521PC2900</t>
  </si>
  <si>
    <t>Inv. 1816</t>
  </si>
  <si>
    <t>PRC 3352525PC3900</t>
  </si>
  <si>
    <t>Inv. 34662</t>
  </si>
  <si>
    <t>PRC 3352527PB6910</t>
  </si>
  <si>
    <t>Inv. 101174.012-CA02</t>
  </si>
  <si>
    <t>PRC 3352531PA2905</t>
  </si>
  <si>
    <t>Inv. 101368.001-PC01</t>
  </si>
  <si>
    <t>CO #6(No cost CO)</t>
  </si>
  <si>
    <t>PRC 3352525PB6900</t>
  </si>
  <si>
    <t>Inv. 23825001-2A</t>
  </si>
  <si>
    <t>PRC 3352520PB8908</t>
  </si>
  <si>
    <t>*Vendor has previously used 23-047 CA 0X in another tab.</t>
  </si>
  <si>
    <t>Brad T.</t>
  </si>
  <si>
    <t>Project Manager - Brad T.</t>
  </si>
  <si>
    <t>Major Program 4B01</t>
  </si>
  <si>
    <t>Project # 9239.02</t>
  </si>
  <si>
    <t>9239.02</t>
  </si>
  <si>
    <t>eDAS 910U</t>
  </si>
  <si>
    <t>PRC 3352521PD2902</t>
  </si>
  <si>
    <t>Inv. 101031.006-04CA</t>
  </si>
  <si>
    <t>PRC 3352527PA8901</t>
  </si>
  <si>
    <t>Inv. 7226ES1</t>
  </si>
  <si>
    <t>PRC 3352527PA0904</t>
  </si>
  <si>
    <t>Inv. 2411-01</t>
  </si>
  <si>
    <t>SystemWorks</t>
  </si>
  <si>
    <t>Vendor:  00002144353</t>
  </si>
  <si>
    <t>RFP927900-02</t>
  </si>
  <si>
    <t>PO 33525003911</t>
  </si>
  <si>
    <t>Design Phase Services</t>
  </si>
  <si>
    <t>Birches Const &amp; Testing</t>
  </si>
  <si>
    <t>Powerhouse Const &amp; Testing</t>
  </si>
  <si>
    <t>Linden Court Academy Const &amp; Testing</t>
  </si>
  <si>
    <t>Final</t>
  </si>
  <si>
    <t>PRC 3352522PB8900</t>
  </si>
  <si>
    <t>Inv. 9424.00-02</t>
  </si>
  <si>
    <t>9466.00</t>
  </si>
  <si>
    <t>Jennie E.</t>
  </si>
  <si>
    <t>Project Name</t>
  </si>
  <si>
    <t>Project # XXXX.XX</t>
  </si>
  <si>
    <t>Program code XXXXXX</t>
  </si>
  <si>
    <t xml:space="preserve">Major Program </t>
  </si>
  <si>
    <t xml:space="preserve">Project Manager - </t>
  </si>
  <si>
    <t xml:space="preserve">eDAS:  </t>
  </si>
  <si>
    <t>Project # 9466.00</t>
  </si>
  <si>
    <t>Program code 946600</t>
  </si>
  <si>
    <t>Project Manager - Jennie E.</t>
  </si>
  <si>
    <t>Major Program 4E01</t>
  </si>
  <si>
    <t>DOC 3JD CBC New Backup Generator</t>
  </si>
  <si>
    <t>CO #2</t>
  </si>
  <si>
    <t>IET DAS202506115300001</t>
  </si>
  <si>
    <t>Finance Support for December 1-31, 2024</t>
  </si>
  <si>
    <t>DAS Support for December 1-31, 2024</t>
  </si>
  <si>
    <t>ATC Group (2)</t>
  </si>
  <si>
    <t>ATC Group Services (2)</t>
  </si>
  <si>
    <t>Design Phase</t>
  </si>
  <si>
    <t>Lead  $15 x 10</t>
  </si>
  <si>
    <t>Admin Hours $45 x 4</t>
  </si>
  <si>
    <t>Field Tech Hours $75 x 45</t>
  </si>
  <si>
    <t>Bidding Phase</t>
  </si>
  <si>
    <t>Field Tech Hours $75 x 12</t>
  </si>
  <si>
    <t>Field Tech Hours $75 x 24</t>
  </si>
  <si>
    <t>Admin Hours $45 x 1</t>
  </si>
  <si>
    <t>Field Tech Hours $75 x 8</t>
  </si>
  <si>
    <t>Field Tech Hours $75 x 48</t>
  </si>
  <si>
    <t xml:space="preserve">Elmcrest </t>
  </si>
  <si>
    <t>Field Tech Hours $75 x 36</t>
  </si>
  <si>
    <t>Med Center</t>
  </si>
  <si>
    <t>PO 33525010900</t>
  </si>
  <si>
    <t>Shive Hattery (3)</t>
  </si>
  <si>
    <t>PO 33525010908</t>
  </si>
  <si>
    <t>Shive Hattery(3)</t>
  </si>
  <si>
    <t>9279.41</t>
  </si>
  <si>
    <t>HHS WRC Linden Court Fire Suppression</t>
  </si>
  <si>
    <t>Project # 9279.41</t>
  </si>
  <si>
    <t>Program code 927941</t>
  </si>
  <si>
    <t>eDAS:  732E</t>
  </si>
  <si>
    <t>PRC 3352521PD2900</t>
  </si>
  <si>
    <t>Inv. 1831</t>
  </si>
  <si>
    <t>PRC 3352521PE2902</t>
  </si>
  <si>
    <t>Inv. 101031.006-05CA</t>
  </si>
  <si>
    <t>IET  23812Y25012</t>
  </si>
  <si>
    <t>PRC 3352531PB2905</t>
  </si>
  <si>
    <t>Inv. 101368.001-PC02</t>
  </si>
  <si>
    <t>PRC 3352527PC0903</t>
  </si>
  <si>
    <t>Inv. 34702</t>
  </si>
  <si>
    <t>PRC 3352525PD3900</t>
  </si>
  <si>
    <t>Inv. 34701</t>
  </si>
  <si>
    <t>IET 0A7444011625</t>
  </si>
  <si>
    <t>Acct Code: 0506-335-DA25-0304</t>
  </si>
  <si>
    <t>Funds Received in without program code</t>
  </si>
  <si>
    <t>CDR 33525021200</t>
  </si>
  <si>
    <t>PRC 3352530PB9904</t>
  </si>
  <si>
    <t>Inv. 23825001-2</t>
  </si>
  <si>
    <t>Return funds to agency</t>
  </si>
  <si>
    <t>IET 33525021201</t>
  </si>
  <si>
    <t>IET 405EL25184007</t>
  </si>
  <si>
    <t>PRC 3352527PC6910</t>
  </si>
  <si>
    <t>Inv. 101174.012-CA03</t>
  </si>
  <si>
    <t>IET MOULINDENCTFIRESUPPR</t>
  </si>
  <si>
    <t>PRC 33525024902</t>
  </si>
  <si>
    <t>Inv. INV045137</t>
  </si>
  <si>
    <t>Beeline &amp; Blue V#(00002108204)</t>
  </si>
  <si>
    <t>PRC 3352533PH4912</t>
  </si>
  <si>
    <t>Inv. 11208</t>
  </si>
  <si>
    <t>PRC 3352528PC2904</t>
  </si>
  <si>
    <t>Inv. 2240007040-203</t>
  </si>
  <si>
    <t>PRC 3352523PC6905</t>
  </si>
  <si>
    <t>Inv. 2240007040-103</t>
  </si>
  <si>
    <t>9467.00</t>
  </si>
  <si>
    <t>HHS IMHI Soil Remediation</t>
  </si>
  <si>
    <t>Project # 9467.00</t>
  </si>
  <si>
    <t>Program code 946700</t>
  </si>
  <si>
    <t>Project Manager -  Jennie E</t>
  </si>
  <si>
    <t>Shipping Code:</t>
  </si>
  <si>
    <t>9468.00</t>
  </si>
  <si>
    <t>Oliver S</t>
  </si>
  <si>
    <t>Project # 9468.00</t>
  </si>
  <si>
    <t>Program code 946800</t>
  </si>
  <si>
    <t>Project Manager - Oliver S</t>
  </si>
  <si>
    <t>Major Program 4A01</t>
  </si>
  <si>
    <t>eDAS: 910W</t>
  </si>
  <si>
    <t>eDAS:  910X</t>
  </si>
  <si>
    <t>RFP927900-01</t>
  </si>
  <si>
    <t>PO 33525028905</t>
  </si>
  <si>
    <t>Shipping Code: 564</t>
  </si>
  <si>
    <t>IUC CC IUC Building Window Shade System Replacement</t>
  </si>
  <si>
    <t>Samuels Group</t>
  </si>
  <si>
    <t>Vendor:  00003033402</t>
  </si>
  <si>
    <t>RFP1821335228-Samuels110122021</t>
  </si>
  <si>
    <t>PO 33525031906</t>
  </si>
  <si>
    <t>Program code 923902</t>
  </si>
  <si>
    <t>9470.00</t>
  </si>
  <si>
    <t>DOC 6JD IC Hope-Stratton Retaining Wall Repairs</t>
  </si>
  <si>
    <t>Project # 9470.00</t>
  </si>
  <si>
    <t>Program code 947000</t>
  </si>
  <si>
    <t>Project Manager -  Jennifer K.</t>
  </si>
  <si>
    <t>PRC 3352521PE2900</t>
  </si>
  <si>
    <t>Inv. 1845</t>
  </si>
  <si>
    <t>Boyd Jones</t>
  </si>
  <si>
    <t>Vendor:  00003193325</t>
  </si>
  <si>
    <t>MA #RFP1821335228-BoydJones11012021</t>
  </si>
  <si>
    <t>PO 33525037906</t>
  </si>
  <si>
    <t>PO 33525038904</t>
  </si>
  <si>
    <t>IET 226A062500818</t>
  </si>
  <si>
    <t>PRC 3352521PF2902</t>
  </si>
  <si>
    <t>Inv. 101031.006-06CA</t>
  </si>
  <si>
    <t>eDAS:  910Y</t>
  </si>
  <si>
    <t>PRC 3352527PD6910</t>
  </si>
  <si>
    <t>Inv. 101174.012-CA04</t>
  </si>
  <si>
    <t>PRC 3352531PC2905</t>
  </si>
  <si>
    <t>Inv. 101368.001-PC03</t>
  </si>
  <si>
    <t>IET DAS202507115300001</t>
  </si>
  <si>
    <t>Finance Support for January 1-31, 2025</t>
  </si>
  <si>
    <t>DAS Support for January 1-31, 2025</t>
  </si>
  <si>
    <t>eDAS:  910V</t>
  </si>
  <si>
    <t>CO #7(100% to MM23)</t>
  </si>
  <si>
    <t>PRC 3352507PF3801</t>
  </si>
  <si>
    <t>Inv. 2271-05(Split W/DA25)</t>
  </si>
  <si>
    <t>PRC 3352520PC8908</t>
  </si>
  <si>
    <t>PRC 3352525PE3900</t>
  </si>
  <si>
    <t>Inv. 34733</t>
  </si>
  <si>
    <t>PRC 3352527PB0904</t>
  </si>
  <si>
    <t>Inv. 2411-02</t>
  </si>
  <si>
    <t>PRC 3352527PD0903</t>
  </si>
  <si>
    <t>Inv. 34734</t>
  </si>
  <si>
    <t>Farnsworth Group</t>
  </si>
  <si>
    <t>Vendor:  00003167963</t>
  </si>
  <si>
    <t>TSB</t>
  </si>
  <si>
    <t>PO 33525049904</t>
  </si>
  <si>
    <t>Shipping Code:  174</t>
  </si>
  <si>
    <t>Horizon Architecture</t>
  </si>
  <si>
    <t>Vendor:  00003108847</t>
  </si>
  <si>
    <t>PO 33525049905</t>
  </si>
  <si>
    <t>Construction Documents</t>
  </si>
  <si>
    <t>Shipping Code:  122A</t>
  </si>
  <si>
    <t xml:space="preserve">Shipping Code:  </t>
  </si>
  <si>
    <t>CDE 33525050904</t>
  </si>
  <si>
    <t>Move Expenses to Admin time per Project Manager</t>
  </si>
  <si>
    <t>PRC 3352502PA8905</t>
  </si>
  <si>
    <t>Inv. 2240007040-401</t>
  </si>
  <si>
    <t>PRC 3352501PA0908</t>
  </si>
  <si>
    <t>Inv. 2240007040-301</t>
  </si>
  <si>
    <t>PRC 3352521PA9901</t>
  </si>
  <si>
    <t>Inv. 9358.01-AIA #01</t>
  </si>
  <si>
    <t>Use 9358.0-AIA #X =Vendor has used AIA #X in another tab</t>
  </si>
  <si>
    <t>IET 4400CKC250221104</t>
  </si>
  <si>
    <t>PRC 3352528PD2904</t>
  </si>
  <si>
    <t>Inv. 2240007040-204</t>
  </si>
  <si>
    <t>PRC 3352533PI4912</t>
  </si>
  <si>
    <t>Inv. 11378</t>
  </si>
  <si>
    <t>PRC 3352521PF2900</t>
  </si>
  <si>
    <t>Inv. 1851</t>
  </si>
  <si>
    <t>Closed 02/25/25</t>
  </si>
  <si>
    <t>Project cancelled by Facility Manager</t>
  </si>
  <si>
    <t>Jamco Abatement Services</t>
  </si>
  <si>
    <t>Vendor:  00003226704</t>
  </si>
  <si>
    <t>RFB 942501-01</t>
  </si>
  <si>
    <t>PO 33525058901</t>
  </si>
  <si>
    <t>PRC 3352530PC9904</t>
  </si>
  <si>
    <t>Inv. 23825001-3A</t>
  </si>
  <si>
    <t>Total:</t>
  </si>
  <si>
    <t>Line 7 Field Tech $132@75ea</t>
  </si>
  <si>
    <t>PRC 3352503PA1906</t>
  </si>
  <si>
    <t>Inv. 7757.01923902</t>
  </si>
  <si>
    <t>IET DAS202508115300001</t>
  </si>
  <si>
    <t>Finance Support for February 2-28, 2025</t>
  </si>
  <si>
    <t>DAS Support for February 2-28, 2025</t>
  </si>
  <si>
    <t>PRC 3352503PA7906</t>
  </si>
  <si>
    <t>Inv. 9466.00-01</t>
  </si>
  <si>
    <t>IET 33525070904</t>
  </si>
  <si>
    <t>PRC 3352520PD8908</t>
  </si>
  <si>
    <t>Inv. 23-049 CA 04A</t>
  </si>
  <si>
    <t>Inv. 23-049 CA 03A</t>
  </si>
  <si>
    <t>Inv. 23-047 CA 02A</t>
  </si>
  <si>
    <t>PRC 3352531PA3900</t>
  </si>
  <si>
    <t>Inv. PC 01</t>
  </si>
  <si>
    <t>McGough Construction (2)</t>
  </si>
  <si>
    <t>PO 33525076903</t>
  </si>
  <si>
    <t>PRC 3352521PG2902</t>
  </si>
  <si>
    <t>Inv. 101031.006-07CA</t>
  </si>
  <si>
    <t>PRC 3352531PD2905</t>
  </si>
  <si>
    <t>Inv. 101368.001-PC04</t>
  </si>
  <si>
    <t>PRC 3352527PE0903</t>
  </si>
  <si>
    <t>Inv. 34770</t>
  </si>
  <si>
    <t>PRC 3352525PF3900</t>
  </si>
  <si>
    <t>Inv. 34769</t>
  </si>
  <si>
    <t>PRC 3352503PA8904</t>
  </si>
  <si>
    <t>Inv. 34772</t>
  </si>
  <si>
    <t>PRC 3352500PA3911</t>
  </si>
  <si>
    <t>Inv. 12280</t>
  </si>
  <si>
    <t>PRC 3352504PA9904</t>
  </si>
  <si>
    <t>Inv. 259212</t>
  </si>
  <si>
    <t>PRC 3352521PG2900</t>
  </si>
  <si>
    <t>Inv. 1859</t>
  </si>
  <si>
    <t>9472.00</t>
  </si>
  <si>
    <t>Project # 9472.00</t>
  </si>
  <si>
    <t>Program code 947200</t>
  </si>
  <si>
    <t>Major Program   4D01</t>
  </si>
  <si>
    <t>Vendor:  00002103747</t>
  </si>
  <si>
    <t>946600-01</t>
  </si>
  <si>
    <t>PO 33525086900</t>
  </si>
  <si>
    <t>Shipping Code:  035</t>
  </si>
  <si>
    <t>eDAS:  732V</t>
  </si>
  <si>
    <t>PRC 3352526PA2901</t>
  </si>
  <si>
    <t>Inv. 9279.40-01-FINAL</t>
  </si>
  <si>
    <t>DOC-NCF-IPI Homes or Iowa Facility Project Fencing - Phase II</t>
  </si>
  <si>
    <t>Project # 9239.03</t>
  </si>
  <si>
    <t>Program code 923903</t>
  </si>
  <si>
    <t>Project Manager - Brad T</t>
  </si>
  <si>
    <t>9239.03</t>
  </si>
  <si>
    <t>eDAS:  732W</t>
  </si>
  <si>
    <t xml:space="preserve">DOC-NCF-IPI Homes or Iowa Facility Project Fencing Phase II </t>
  </si>
  <si>
    <t>DAS CC  Hoover Level B Sprinkler Modifications</t>
  </si>
  <si>
    <t>DAS CC Hoover Print Shop Expansion</t>
  </si>
  <si>
    <t>9473.00</t>
  </si>
  <si>
    <t>DAS CC Hoover Level B Sprinkler Modifications</t>
  </si>
  <si>
    <t>Project # 9473.00</t>
  </si>
  <si>
    <t>Major Program 4E06</t>
  </si>
  <si>
    <t>PRC 3352530PD9904</t>
  </si>
  <si>
    <t>Inv. 23825001-4</t>
  </si>
  <si>
    <t>PRC 3352521PA9900</t>
  </si>
  <si>
    <t>Inv. 79875</t>
  </si>
  <si>
    <t>PRC 3352521PB9901</t>
  </si>
  <si>
    <t>Inv. 9358.01-AIA #02</t>
  </si>
  <si>
    <t>PRC 3352521PH2900</t>
  </si>
  <si>
    <t>Inv. 1861 Retainage</t>
  </si>
  <si>
    <t>PRC 3352521PH2902</t>
  </si>
  <si>
    <t>Inv. 101031.006-08CA FINAL</t>
  </si>
  <si>
    <t>PRC 3352533PJ4912</t>
  </si>
  <si>
    <t>Inv. 11378FINAL</t>
  </si>
  <si>
    <t>CO #3</t>
  </si>
  <si>
    <t>Farnsworth Group (2)</t>
  </si>
  <si>
    <t>RFP913300-01</t>
  </si>
  <si>
    <t>PO 33525094901</t>
  </si>
  <si>
    <t>Bidding/Negotiation</t>
  </si>
  <si>
    <t>Construction Admin</t>
  </si>
  <si>
    <t>Farnsworth Group Architecutral Fee</t>
  </si>
  <si>
    <t>Bishop Engineering Civil Fee</t>
  </si>
  <si>
    <t>KPFF Structural Fee</t>
  </si>
  <si>
    <t>Twin Rivers MEP Fee</t>
  </si>
  <si>
    <t>Total Contract:</t>
  </si>
  <si>
    <t>Space Planning Services October 01-31,2024</t>
  </si>
  <si>
    <t>Fire Watch November 01-30, 2024</t>
  </si>
  <si>
    <t>Fire Watch  February 01-28, 2025</t>
  </si>
  <si>
    <t>Space Planning Services February 01-28, 2025</t>
  </si>
  <si>
    <t>PRC 3352501PB0908</t>
  </si>
  <si>
    <t>Inv. 2240007040-302</t>
  </si>
  <si>
    <t>eDAS:   732X</t>
  </si>
  <si>
    <t>PRC 3352503PB7906</t>
  </si>
  <si>
    <t>Inv. 9466.00-02</t>
  </si>
  <si>
    <t>PRC 3352531PB3900</t>
  </si>
  <si>
    <t>Inv. PC 02</t>
  </si>
  <si>
    <t>PRC 3352503PB1906</t>
  </si>
  <si>
    <t>Inv. 7757.02923902</t>
  </si>
  <si>
    <t>PRC 3352521PC9901</t>
  </si>
  <si>
    <t>Inv. 9358.01-AIA #03</t>
  </si>
  <si>
    <t>PRC 3352520PE8908</t>
  </si>
  <si>
    <t>Inv. 23-049 CA 05A</t>
  </si>
  <si>
    <t>Controlled Asbestos V#(00002118118)</t>
  </si>
  <si>
    <t>Inv. 0010914-IN</t>
  </si>
  <si>
    <t>PRC 33525099900</t>
  </si>
  <si>
    <t>IET DAS202509115300001</t>
  </si>
  <si>
    <t>Finance Support for March 01-31, 2025</t>
  </si>
  <si>
    <t>DAS Support for March 01-31, 2025</t>
  </si>
  <si>
    <t>DAS2025091153</t>
  </si>
  <si>
    <t>Space Planning Services March1-31, 2025</t>
  </si>
  <si>
    <t>Fire Watch Services March1-31, 2025</t>
  </si>
  <si>
    <t>Closed 04/10/25</t>
  </si>
  <si>
    <t>Closing Project Per PM</t>
  </si>
  <si>
    <t>IET 33525100900</t>
  </si>
  <si>
    <t>PRC 3352504PA9905</t>
  </si>
  <si>
    <t>Inv. 9470.00-01</t>
  </si>
  <si>
    <t>9475.00</t>
  </si>
  <si>
    <t>HHS CHMHI Fleet Garage Repairs</t>
  </si>
  <si>
    <t>Project # 9475.00</t>
  </si>
  <si>
    <t>Program code 947500</t>
  </si>
  <si>
    <t>eDAS:  732Z</t>
  </si>
  <si>
    <t>Closed/Moving to X674</t>
  </si>
  <si>
    <t>PRC 3352532PA0906</t>
  </si>
  <si>
    <t>Inv. 2633531</t>
  </si>
  <si>
    <t>PRC 3352531PE2905</t>
  </si>
  <si>
    <t>Inv. 101368.001-PC05 Final</t>
  </si>
  <si>
    <t>PRC 3352507PA6903</t>
  </si>
  <si>
    <t>Inv. 101368.001-CA01</t>
  </si>
  <si>
    <t>PRC 3352528PE2904</t>
  </si>
  <si>
    <t>Inv. 2240007040-205</t>
  </si>
  <si>
    <t>PRC 3352527PF0903</t>
  </si>
  <si>
    <t>Inv. 34803 FINAL</t>
  </si>
  <si>
    <t>CDE 33525106900</t>
  </si>
  <si>
    <t>Move expense from DA25 to X674</t>
  </si>
  <si>
    <t>Transfer Funds to Correct Unit From DA24 to DA25</t>
  </si>
  <si>
    <t>CDR 33525109900</t>
  </si>
  <si>
    <t>PRC 3352525PG3900</t>
  </si>
  <si>
    <t>Inv. 34802</t>
  </si>
  <si>
    <t>Closed/Moving to 5800</t>
  </si>
  <si>
    <t>Program code 947300</t>
  </si>
  <si>
    <t>PRC 3352502PB8905</t>
  </si>
  <si>
    <t>Inv. 2240007040-402</t>
  </si>
  <si>
    <t>PRC 3352508PA6900</t>
  </si>
  <si>
    <t>Inv. 11793</t>
  </si>
  <si>
    <t>PRC 33525118900</t>
  </si>
  <si>
    <t>Rapids Reproductions V#(00002111375)</t>
  </si>
  <si>
    <t>Inv. INVCL1634</t>
  </si>
  <si>
    <t>Inv. 2638653</t>
  </si>
  <si>
    <t>GAX 33525118902</t>
  </si>
  <si>
    <t>Terracon Consultants</t>
  </si>
  <si>
    <t>MA25049</t>
  </si>
  <si>
    <t>DO 33525119900</t>
  </si>
  <si>
    <t>DO Procore</t>
  </si>
  <si>
    <t>Vendor:  00002116513</t>
  </si>
  <si>
    <t>Terracon Consultants (2)</t>
  </si>
  <si>
    <t>DO 33525119905</t>
  </si>
  <si>
    <t>PRC 3352501PA0900</t>
  </si>
  <si>
    <t>Inv. 2618262</t>
  </si>
  <si>
    <t>IET 41JP2504292513</t>
  </si>
  <si>
    <t>MOU Amend #1</t>
  </si>
  <si>
    <t>IET MOUCOTTAGESIDINGAMD1</t>
  </si>
  <si>
    <t>Project Manager -  Jennie E.</t>
  </si>
  <si>
    <t>Falke Construction</t>
  </si>
  <si>
    <t>Vendor:  00003189198</t>
  </si>
  <si>
    <t>RFB943300-01</t>
  </si>
  <si>
    <t>PO 33525125900</t>
  </si>
  <si>
    <t>PRC 3352527PC0904</t>
  </si>
  <si>
    <t>Inv. 2411-03</t>
  </si>
  <si>
    <t>Story Construction (2)</t>
  </si>
  <si>
    <t>PO 33525126902</t>
  </si>
  <si>
    <t>PRC 3352503PC1906</t>
  </si>
  <si>
    <t>Inv. 7757.03923902</t>
  </si>
  <si>
    <t>PRC 3352507PB6903</t>
  </si>
  <si>
    <t>Inv. 101368.001-CA02</t>
  </si>
  <si>
    <t>PRC 3352523PD6905</t>
  </si>
  <si>
    <t>Inv. 2240007040-104</t>
  </si>
  <si>
    <t>IET DAS202510115300001</t>
  </si>
  <si>
    <t>Space Planning Services April 01-30, 2025</t>
  </si>
  <si>
    <t>Finance Support for April 01-30, 2025</t>
  </si>
  <si>
    <t>DAS Support for April 01-30, 2025</t>
  </si>
  <si>
    <t>PO 33525132900</t>
  </si>
  <si>
    <t>Design Grand Totals</t>
  </si>
  <si>
    <t>CDE 33525132908</t>
  </si>
  <si>
    <t>Moving PM Time From 9358.00 DA24</t>
  </si>
  <si>
    <t>Inv. INVCL1550</t>
  </si>
  <si>
    <t>PRC 33525132909</t>
  </si>
  <si>
    <t>PRC 3352503PC7906</t>
  </si>
  <si>
    <t>Inv. 9466.00-03</t>
  </si>
  <si>
    <t>PRC 3352520PF8908</t>
  </si>
  <si>
    <t>Inv. 23-049 CA 06A</t>
  </si>
  <si>
    <t>CO #1 Moving allowance from CM Services to Reimbursable</t>
  </si>
  <si>
    <t>CO #1(No Cost CO)</t>
  </si>
  <si>
    <t>PRC 3352531PC3900</t>
  </si>
  <si>
    <t>Inv. PC 03</t>
  </si>
  <si>
    <t>PRC 3352521PD9901</t>
  </si>
  <si>
    <t>Inv. 9358.01-AIA #04</t>
  </si>
  <si>
    <t>PRC 3352504PB9904</t>
  </si>
  <si>
    <t>Inv. 9239.02-02 - Final</t>
  </si>
  <si>
    <t>PRC 3352521PB9900</t>
  </si>
  <si>
    <t>Inv. 50365</t>
  </si>
  <si>
    <t>PRC 3352501PC0908</t>
  </si>
  <si>
    <t>Inv. 2240007040-3</t>
  </si>
  <si>
    <t>Returning Funds to Agency Per PM</t>
  </si>
  <si>
    <t>PRC 3352504PB9905</t>
  </si>
  <si>
    <t>Inv. 9470.00-02 - FINAL</t>
  </si>
  <si>
    <t>PRC 3352503PB8904</t>
  </si>
  <si>
    <t>Inv. 34841</t>
  </si>
  <si>
    <t>PRC 3352525PH3900</t>
  </si>
  <si>
    <t>Inv. 34838</t>
  </si>
  <si>
    <t>Inv. INV048365</t>
  </si>
  <si>
    <t>PRC 33525140901</t>
  </si>
  <si>
    <t>Shive Hattery (4)</t>
  </si>
  <si>
    <t>PO 33525141900</t>
  </si>
  <si>
    <t>Bid Issuance #1</t>
  </si>
  <si>
    <t>Birches Construction Admin</t>
  </si>
  <si>
    <t>Med Center Construction Admin</t>
  </si>
  <si>
    <t>Elmcrest Construction Admin</t>
  </si>
  <si>
    <t>Powerhouse Construction Admin</t>
  </si>
  <si>
    <t xml:space="preserve">Dispatch Garage Construction </t>
  </si>
  <si>
    <t>Shipping Code:  564</t>
  </si>
  <si>
    <t>CO #4</t>
  </si>
  <si>
    <t>PRC 3352503PD1906</t>
  </si>
  <si>
    <t>Inv, 7757.04923902-FINAL</t>
  </si>
  <si>
    <t>9366.00</t>
  </si>
  <si>
    <t>DOC NCCF IPI Sally Port Vehicle Gate</t>
  </si>
  <si>
    <t>Project # 9366.00</t>
  </si>
  <si>
    <t>Program code 936600</t>
  </si>
  <si>
    <t>eDAS:  911B</t>
  </si>
  <si>
    <t>Samuels Group (2)</t>
  </si>
  <si>
    <t>PO 33525148901</t>
  </si>
  <si>
    <t>Reimbursables-Geotech/Testing</t>
  </si>
  <si>
    <t>Reimbursables-Mileage,hotels,meals</t>
  </si>
  <si>
    <t>Shipping Code: 174</t>
  </si>
  <si>
    <t>Reimbursables-Mileage, hotels, meals</t>
  </si>
  <si>
    <t>PO 33525148902</t>
  </si>
  <si>
    <t>IET 33525148904</t>
  </si>
  <si>
    <t>IET 33525148905</t>
  </si>
  <si>
    <t>ATC Group (3)</t>
  </si>
  <si>
    <t>ATC Group Services (3)</t>
  </si>
  <si>
    <t>MA00520262E</t>
  </si>
  <si>
    <t>DO 33525148909</t>
  </si>
  <si>
    <t>Lead  $17 x 100</t>
  </si>
  <si>
    <t>Field Tech Hours $80 x 65</t>
  </si>
  <si>
    <t>Travel .50 x 350 miles</t>
  </si>
  <si>
    <t>IET 23812Y25042</t>
  </si>
  <si>
    <t>Fee</t>
  </si>
  <si>
    <t>General Conditions</t>
  </si>
  <si>
    <t>Contract Total:</t>
  </si>
  <si>
    <t>Grand Total:</t>
  </si>
  <si>
    <t>eDAS:  733D</t>
  </si>
  <si>
    <t>9476.00</t>
  </si>
  <si>
    <t>HHS STS New Garage Building</t>
  </si>
  <si>
    <t>Project # 9476.00</t>
  </si>
  <si>
    <t>Program code 947600</t>
  </si>
  <si>
    <t>PRC 3352530PE9904</t>
  </si>
  <si>
    <t>Inv. 23825001-5</t>
  </si>
  <si>
    <t>Advanced Environmental</t>
  </si>
  <si>
    <t>Vendor:  00002125877</t>
  </si>
  <si>
    <t>MA 005 21063B</t>
  </si>
  <si>
    <t>Activity code:  BRIN</t>
  </si>
  <si>
    <t>PO 33525155902</t>
  </si>
  <si>
    <t>Asbestos Line 1</t>
  </si>
  <si>
    <t>Abatement &amp; Remediation Line 7</t>
  </si>
  <si>
    <t>Non-Friable Disposal Fee Line 11</t>
  </si>
  <si>
    <t>Travel Expense Line 12</t>
  </si>
  <si>
    <t>VanMaanen Electric</t>
  </si>
  <si>
    <t>Van Maanen Electric</t>
  </si>
  <si>
    <t>927940-01</t>
  </si>
  <si>
    <t>PO 33525155903</t>
  </si>
  <si>
    <t>PRC 3352505PA8901</t>
  </si>
  <si>
    <t>Inv. 9425.01-01</t>
  </si>
  <si>
    <t>IET DAS202511115300001</t>
  </si>
  <si>
    <t>Finance Support for May 01-31, 2025</t>
  </si>
  <si>
    <t>DAS Support for May 01-31, 2025</t>
  </si>
  <si>
    <t>PRC 3352520PG8908</t>
  </si>
  <si>
    <t>Inv. 23-049 CA 07A</t>
  </si>
  <si>
    <t>Inv. 23-047 CA 01A</t>
  </si>
  <si>
    <t>PRC 3352521PE9901</t>
  </si>
  <si>
    <t>Inv. 9358.01-AIA #05</t>
  </si>
  <si>
    <t>PRC 3352531PD3900</t>
  </si>
  <si>
    <t>Inv. PC 04</t>
  </si>
  <si>
    <t>PRC 3352505PB8901</t>
  </si>
  <si>
    <t>Inv. 9425.01-02</t>
  </si>
  <si>
    <t>PRC 3352507PC6903</t>
  </si>
  <si>
    <t>Inv. 101368.001-CA03</t>
  </si>
  <si>
    <t>CO #3(No Cost CO)</t>
  </si>
  <si>
    <t>Closed 06/12/25</t>
  </si>
  <si>
    <t>Project not proceeding per agency</t>
  </si>
  <si>
    <t>IET 33525163904</t>
  </si>
  <si>
    <t>Returning Funds to Agency - Closing Project</t>
  </si>
  <si>
    <t>Pleva Plumbing</t>
  </si>
  <si>
    <t>Vendor:  00003054699</t>
  </si>
  <si>
    <t>PO 33525163905</t>
  </si>
  <si>
    <t>PRC 3352527PB8901</t>
  </si>
  <si>
    <t>Inv. 7226ES2</t>
  </si>
  <si>
    <t>PO 33525150901</t>
  </si>
  <si>
    <t>Closed 06/13/25</t>
  </si>
  <si>
    <t>Returning Funds - Closing Project</t>
  </si>
  <si>
    <t>IET 33525164912</t>
  </si>
  <si>
    <t>PRC 3352525PI3900</t>
  </si>
  <si>
    <t>Inv. 34866</t>
  </si>
  <si>
    <t>IET 400EL25168001</t>
  </si>
  <si>
    <t>PRC 3352527PC8901</t>
  </si>
  <si>
    <t>Inv. 7226RT1 -Retainage</t>
  </si>
  <si>
    <t>SystemWorks (2)</t>
  </si>
  <si>
    <t>MA00521396B</t>
  </si>
  <si>
    <t>DO 33525169906</t>
  </si>
  <si>
    <t>Kline Electrical</t>
  </si>
  <si>
    <t>Vendor:00003038115</t>
  </si>
  <si>
    <t>927940-02</t>
  </si>
  <si>
    <t>Activity code: BRIN</t>
  </si>
  <si>
    <t>Split w/ DA24 9279.30</t>
  </si>
  <si>
    <t>PO 33525169910</t>
  </si>
  <si>
    <t xml:space="preserve">Total Contract: </t>
  </si>
  <si>
    <t>DA24 9279.30</t>
  </si>
  <si>
    <t>Inv. 2271-07(100% to MM23)</t>
  </si>
  <si>
    <t>PRC 3352507PG3801</t>
  </si>
  <si>
    <t>PRC 3352507PH3801</t>
  </si>
  <si>
    <t>Inv. 2271-08F Retainage (Split w/MM23)</t>
  </si>
  <si>
    <t>PRC 3352505PC8901</t>
  </si>
  <si>
    <t>Inv. 9425.01-03 - Retainage</t>
  </si>
  <si>
    <t>PRC 3352522PC8900</t>
  </si>
  <si>
    <t>Inv. 24004598.00-3 Final</t>
  </si>
  <si>
    <t>Inv. 881544</t>
  </si>
  <si>
    <t>GAX 33525174902</t>
  </si>
  <si>
    <t>GPRS Inc V#(00003035582)</t>
  </si>
  <si>
    <t>PRC 3352503PD7906</t>
  </si>
  <si>
    <t>Inv. 9466.00-04</t>
  </si>
  <si>
    <t>9480.00</t>
  </si>
  <si>
    <t>HHS STS Canteen Roof Repair Design (29C20)</t>
  </si>
  <si>
    <t>Project # 9480.00</t>
  </si>
  <si>
    <t>Program code 948000</t>
  </si>
  <si>
    <t>Major Program 3D02</t>
  </si>
  <si>
    <t>PRC 3352527PE6910</t>
  </si>
  <si>
    <t>Inv. 101174.012-CA05 Final</t>
  </si>
  <si>
    <t>eDAS:  733G</t>
  </si>
  <si>
    <t>GPRS V#(00003035582)</t>
  </si>
  <si>
    <t>Inv. 892180</t>
  </si>
  <si>
    <t>GAX 33525175907</t>
  </si>
  <si>
    <t>IET 400EL25175007</t>
  </si>
  <si>
    <t>PO 33525178900</t>
  </si>
  <si>
    <t>PO 33525178905</t>
  </si>
  <si>
    <t>PRC 3352508PB6900</t>
  </si>
  <si>
    <t>Inv. 12199</t>
  </si>
  <si>
    <t>PRC 33525181900</t>
  </si>
  <si>
    <t>Inv. INVCL1815</t>
  </si>
  <si>
    <t>Project Manager - Oliver S.</t>
  </si>
  <si>
    <t>PRC 3352532PB0906</t>
  </si>
  <si>
    <t>Inv. 9425.01-02 - Final</t>
  </si>
  <si>
    <t>Genesis Architectural Design</t>
  </si>
  <si>
    <t>Emergency</t>
  </si>
  <si>
    <t>PO 33525181901</t>
  </si>
  <si>
    <t>IET 33525182902</t>
  </si>
  <si>
    <t>ICN Bill</t>
  </si>
  <si>
    <t>Inv. 64525063</t>
  </si>
  <si>
    <t>PRC 3352521PC9900</t>
  </si>
  <si>
    <t>Inv. 9358.01-03</t>
  </si>
  <si>
    <t>PRC 3352521PF9901</t>
  </si>
  <si>
    <t>Inv. 9358.01-AIA#06</t>
  </si>
  <si>
    <t>PRC 33525184908</t>
  </si>
  <si>
    <t>Inv. INVCL1897</t>
  </si>
  <si>
    <t>PRC 3352527PD0904</t>
  </si>
  <si>
    <t>Inv. 2411-04</t>
  </si>
  <si>
    <t>PRC 3352518PA1901</t>
  </si>
  <si>
    <t>Inv. 2503-01</t>
  </si>
  <si>
    <t>PRC 3352500PB3911</t>
  </si>
  <si>
    <t>Inv. 12426</t>
  </si>
  <si>
    <t>PRC 3352516PA9906</t>
  </si>
  <si>
    <t>Inv. 12433</t>
  </si>
  <si>
    <t>PRC 3352502PC8905</t>
  </si>
  <si>
    <t>Inv. 2240007040-403</t>
  </si>
  <si>
    <t>PRC 3352528PF2904</t>
  </si>
  <si>
    <t>Inv. 2240007040-206</t>
  </si>
  <si>
    <t>PRC 3352501PD0908</t>
  </si>
  <si>
    <t>PRC 3352514PA1900</t>
  </si>
  <si>
    <t>Inv. 2240007040-501</t>
  </si>
  <si>
    <t>Inv. 2240007040-304</t>
  </si>
  <si>
    <t>PRC 3352521PD9900</t>
  </si>
  <si>
    <t>Inv. 73257</t>
  </si>
  <si>
    <t>PRC 3352520PH8908</t>
  </si>
  <si>
    <t>Inv. 23-049 CA 08A</t>
  </si>
  <si>
    <t>PRC 3352530PF9904</t>
  </si>
  <si>
    <t>Inv. 23825001-9</t>
  </si>
  <si>
    <t>PRC 3352531PE3900</t>
  </si>
  <si>
    <t>Inv. PC 05</t>
  </si>
  <si>
    <t>PRC 3352530PH9904</t>
  </si>
  <si>
    <t>Inv. 23825001-7</t>
  </si>
  <si>
    <t>PRC 3352509PA4901</t>
  </si>
  <si>
    <t>Inv. 9239.02-01</t>
  </si>
  <si>
    <t>PRC 3352514PA8901</t>
  </si>
  <si>
    <t>Inv. 7782.01923903</t>
  </si>
  <si>
    <t>IET DAS202512115300001</t>
  </si>
  <si>
    <t>Finance Support for June 01-30, 2025</t>
  </si>
  <si>
    <t>DAS Support for June 01-30, 2025</t>
  </si>
  <si>
    <t>Space Planning Services June 1-30,2025</t>
  </si>
  <si>
    <t>Inv. 840697</t>
  </si>
  <si>
    <t>Holmes Murphy V#(00002110543)</t>
  </si>
  <si>
    <t>PRC 33525195400</t>
  </si>
  <si>
    <t>PRC 3352507PD6903</t>
  </si>
  <si>
    <t>Inv. 101368.001-CA04 Final</t>
  </si>
  <si>
    <t>PRC 3352503PE7906</t>
  </si>
  <si>
    <t>Inv. 9466.00-05</t>
  </si>
  <si>
    <t>Inv. TP13219</t>
  </si>
  <si>
    <t>PRC 3352511PA9900</t>
  </si>
  <si>
    <t>PRC 3352511PA9905</t>
  </si>
  <si>
    <t>Inv. TP16792</t>
  </si>
  <si>
    <t>PRC 3352514PA8909</t>
  </si>
  <si>
    <t>Inv. 2657542</t>
  </si>
  <si>
    <t>PO 3352517PA8905</t>
  </si>
  <si>
    <t>Inv. 101368.010-PC01</t>
  </si>
  <si>
    <t>PRC 3352514PA8902</t>
  </si>
  <si>
    <t>Inv. 7783.01923902</t>
  </si>
  <si>
    <t>PO 3352513PA2900</t>
  </si>
  <si>
    <t>PRC 33525196903</t>
  </si>
  <si>
    <t>Inv. INVCL1896</t>
  </si>
  <si>
    <t>PRC 3352503PC8904</t>
  </si>
  <si>
    <t>Inv. 34908</t>
  </si>
  <si>
    <t>PRC 3352525PJ3900</t>
  </si>
  <si>
    <t>Inv. 34904</t>
  </si>
  <si>
    <t>Closing per pm</t>
  </si>
  <si>
    <t>Closing 07/21/25</t>
  </si>
  <si>
    <t>Returning Funds to Agency</t>
  </si>
  <si>
    <t>IET 33525202900</t>
  </si>
  <si>
    <t>IET 33525136913</t>
  </si>
  <si>
    <t>Updating VC From 0003226164 to 00002110695</t>
  </si>
  <si>
    <t>PO 33525126902A</t>
  </si>
  <si>
    <t>IET DAS202513115300001</t>
  </si>
  <si>
    <t>Electrical Service June 1-30, 2025</t>
  </si>
  <si>
    <t>PRC 3352512PA6902</t>
  </si>
  <si>
    <t>Inv. 34906</t>
  </si>
  <si>
    <t>2398</t>
  </si>
  <si>
    <t>Inv. 724944-9429.00</t>
  </si>
  <si>
    <t>IET 33525202407</t>
  </si>
  <si>
    <t>PRC 3352515PA0901</t>
  </si>
  <si>
    <t>Inv. 34905</t>
  </si>
  <si>
    <t>Inv. 34906A</t>
  </si>
  <si>
    <t>IET 33525213900</t>
  </si>
  <si>
    <t>Return funds to agency - Closing Project</t>
  </si>
  <si>
    <t>Closed 07/31/25</t>
  </si>
  <si>
    <t>CR 00525212101A</t>
  </si>
  <si>
    <t>Rapids Reproduction refund</t>
  </si>
  <si>
    <t>Return funds to agency-Project closing</t>
  </si>
  <si>
    <t>IET 33525217904</t>
  </si>
  <si>
    <t>Closed 08/05/25</t>
  </si>
  <si>
    <t>Returning FY25 Funds to Agency</t>
  </si>
  <si>
    <t>IET 33525224913</t>
  </si>
  <si>
    <t>IET 33525224914</t>
  </si>
  <si>
    <t>IET 33525224915</t>
  </si>
  <si>
    <t>IET 33525224916</t>
  </si>
  <si>
    <t>IET 33525224917</t>
  </si>
  <si>
    <t>IET 33525224918</t>
  </si>
  <si>
    <t>Returning FY25  funds to Agency</t>
  </si>
  <si>
    <t>IET 33525224919</t>
  </si>
  <si>
    <t>IET 33525224920</t>
  </si>
  <si>
    <t>IET 33525224921</t>
  </si>
  <si>
    <t>IET 33525224922</t>
  </si>
  <si>
    <t>IET 33525224923</t>
  </si>
  <si>
    <t>IET 33525224924</t>
  </si>
  <si>
    <t>IET DAS202601115300001</t>
  </si>
  <si>
    <t>Finance Support for July 01-31, 2025</t>
  </si>
  <si>
    <t>DAS Support for July 01-31, 2025</t>
  </si>
  <si>
    <t>Space Planning Services July 1-31,2025</t>
  </si>
  <si>
    <t>Inv. DAS2026011153</t>
  </si>
  <si>
    <t>CDE 33526226902</t>
  </si>
  <si>
    <t>FY25</t>
  </si>
  <si>
    <t>PO 33526169910</t>
  </si>
  <si>
    <t>Roll to FY26</t>
  </si>
  <si>
    <t>PO 33526094901</t>
  </si>
  <si>
    <t>PO 33526148902</t>
  </si>
  <si>
    <t>PO 33526148901</t>
  </si>
  <si>
    <t>PO 33526169906</t>
  </si>
  <si>
    <t>PO 33526163905</t>
  </si>
  <si>
    <t>PO 33526155903</t>
  </si>
  <si>
    <t>PO 33526155902</t>
  </si>
  <si>
    <t>PO 33526150901</t>
  </si>
  <si>
    <t>PO 33526141900</t>
  </si>
  <si>
    <t>PO 33526010908</t>
  </si>
  <si>
    <t>PO 33526010900</t>
  </si>
  <si>
    <t>PO 33526003911</t>
  </si>
  <si>
    <t>PO 33526282904</t>
  </si>
  <si>
    <t>PO 33526253900</t>
  </si>
  <si>
    <t xml:space="preserve">Field Tech Hours $75 x </t>
  </si>
  <si>
    <t xml:space="preserve">Admin Hours $45 x </t>
  </si>
  <si>
    <t>Asbestos</t>
  </si>
  <si>
    <t>Lead</t>
  </si>
  <si>
    <t>TOTAL LINES</t>
  </si>
  <si>
    <t>PO 33526028905</t>
  </si>
  <si>
    <t>PO 33526038904</t>
  </si>
  <si>
    <t>PO 33526219900</t>
  </si>
  <si>
    <t>PO 33526219901</t>
  </si>
  <si>
    <t>PO 33526208908</t>
  </si>
  <si>
    <t>PO 33526119905</t>
  </si>
  <si>
    <t>PO 33526309904</t>
  </si>
  <si>
    <t>PO 33526313900</t>
  </si>
  <si>
    <t>PO 33526119900</t>
  </si>
  <si>
    <t>PO 33526125900</t>
  </si>
  <si>
    <t>PO 33526270904</t>
  </si>
  <si>
    <t>PO 33526126902A</t>
  </si>
  <si>
    <t>PO 33526037906</t>
  </si>
  <si>
    <t>PO 33526086900</t>
  </si>
  <si>
    <t>PO 33526178905</t>
  </si>
  <si>
    <t>PO 33526178900</t>
  </si>
  <si>
    <t>PO 33526181901</t>
  </si>
  <si>
    <t xml:space="preserve">CO #1 Opening in DA26 </t>
  </si>
  <si>
    <t>DA26</t>
  </si>
  <si>
    <t>Split w/ DA26</t>
  </si>
  <si>
    <t>Received FY26 Funds from Agency</t>
  </si>
  <si>
    <t>IET 23812Y26002</t>
  </si>
  <si>
    <t>Received FY26 funds from Agency</t>
  </si>
  <si>
    <t>IET 23812Y26004</t>
  </si>
  <si>
    <t>IET 26EH024174</t>
  </si>
  <si>
    <t>CDR 33526238900</t>
  </si>
  <si>
    <t>PCR 3352621PE9900</t>
  </si>
  <si>
    <t>Inv. 80820</t>
  </si>
  <si>
    <t>PRC 3352621PG9901</t>
  </si>
  <si>
    <t>Inv. 9358.01-AIA #07</t>
  </si>
  <si>
    <t>Inv. 12379</t>
  </si>
  <si>
    <t>PRC 3352603PF7906</t>
  </si>
  <si>
    <t>Inv. 9466.00-06</t>
  </si>
  <si>
    <t>PRC 33526238906</t>
  </si>
  <si>
    <t>Inv. INVCL2021</t>
  </si>
  <si>
    <t>PRC 3352608PC6900</t>
  </si>
  <si>
    <t>PRC 3352620PI8908</t>
  </si>
  <si>
    <t>Inv. 23-049 CA 09</t>
  </si>
  <si>
    <t>PRC 3352608PD6900</t>
  </si>
  <si>
    <t>Inv. 12523</t>
  </si>
  <si>
    <t>IET FY26 MOU TRANSFER</t>
  </si>
  <si>
    <t>IET FY26 MOU TRANFER</t>
  </si>
  <si>
    <t>IET 0A7935082925</t>
  </si>
  <si>
    <t>CDR 33526254800</t>
  </si>
  <si>
    <t>PRC 3352612PC6902A</t>
  </si>
  <si>
    <t>Inv. 34946</t>
  </si>
  <si>
    <t>Inv. 101368.010-PC02</t>
  </si>
  <si>
    <t>PRC 3352617PB8905</t>
  </si>
  <si>
    <t>PRC 3352617PA8900</t>
  </si>
  <si>
    <t>Inv. 101368.011-PC01</t>
  </si>
  <si>
    <t>HGM Associates Inc.</t>
  </si>
  <si>
    <t>PO 33526248405</t>
  </si>
  <si>
    <t xml:space="preserve">Construction Documents </t>
  </si>
  <si>
    <t>Bidding or Negotiation Assistance</t>
  </si>
  <si>
    <t>HGM Associates Inc</t>
  </si>
  <si>
    <t>Vendor:  00002109941</t>
  </si>
  <si>
    <t>RFP947600-01-HGMAssociates</t>
  </si>
  <si>
    <t>Inv. 7782.02923903</t>
  </si>
  <si>
    <t>PRC 3352614PB8901</t>
  </si>
  <si>
    <t>PRC 3352614PB8902</t>
  </si>
  <si>
    <t>Inv. 7783.02923902</t>
  </si>
  <si>
    <t>PRC 3352631PF3900</t>
  </si>
  <si>
    <t>Inv. PC 06</t>
  </si>
  <si>
    <t xml:space="preserve">Jaeager Corporation </t>
  </si>
  <si>
    <t>Vendor:  00003175664</t>
  </si>
  <si>
    <t xml:space="preserve">Jaeger Corporation </t>
  </si>
  <si>
    <t>PO 33526253400</t>
  </si>
  <si>
    <t>ATC Group Services V#(00002134218)</t>
  </si>
  <si>
    <t>Inv. 2658324</t>
  </si>
  <si>
    <t>Inv. 2663593</t>
  </si>
  <si>
    <t>PRC 3352612PA5900</t>
  </si>
  <si>
    <t>Inv. 9433.00-001</t>
  </si>
  <si>
    <t>PRC 33526253401</t>
  </si>
  <si>
    <t>PRC 33526253402</t>
  </si>
  <si>
    <t>RFP#947500-01</t>
  </si>
  <si>
    <t>PO 33526254900</t>
  </si>
  <si>
    <t>Bid Phase</t>
  </si>
  <si>
    <t>Shipping Code:  548</t>
  </si>
  <si>
    <t>PRC 3352625PK3900</t>
  </si>
  <si>
    <t>Inv. 34944</t>
  </si>
  <si>
    <t>PRC 3352615PB0901</t>
  </si>
  <si>
    <t>Inv. 34945</t>
  </si>
  <si>
    <t>PRC 3352616PA3905</t>
  </si>
  <si>
    <t>Inv. 9279.40-01</t>
  </si>
  <si>
    <t>PRC 3352616PA9910</t>
  </si>
  <si>
    <t>Inv. 9279.40-01(100% to DA24)</t>
  </si>
  <si>
    <t>IET DASMOU090925</t>
  </si>
  <si>
    <t>MOU Amend #2</t>
  </si>
  <si>
    <t>PRC 3352617PC8905</t>
  </si>
  <si>
    <t>Inv. 101368.010-PC03</t>
  </si>
  <si>
    <t>PRC 3352621PH9901</t>
  </si>
  <si>
    <t>Inv. 9358.01-AIA #08</t>
  </si>
  <si>
    <t>PCR 3352621PF9900</t>
  </si>
  <si>
    <t>Inv. 26195</t>
  </si>
  <si>
    <t>PRC 3352614PC8901</t>
  </si>
  <si>
    <t>Inv. 7782.03923903</t>
  </si>
  <si>
    <t>PRC 3352614PC8902</t>
  </si>
  <si>
    <t>Inv. 7783.03923902</t>
  </si>
  <si>
    <t>Inv. 9239.03-001</t>
  </si>
  <si>
    <t>Inv. 9239.03-002</t>
  </si>
  <si>
    <t>Please use 9239.03-00X as 9239.03-0X has previously been used for this vendor</t>
  </si>
  <si>
    <t>PO 3352613290</t>
  </si>
  <si>
    <t>PRC 3352613PB290</t>
  </si>
  <si>
    <t>PRC 3352609PB4901</t>
  </si>
  <si>
    <t>Inv. 9239.02-02</t>
  </si>
  <si>
    <t>PRC 3352603PG7906</t>
  </si>
  <si>
    <t>Inv. 9466.00-07 - Final</t>
  </si>
  <si>
    <t>PRC 3352631PG3900</t>
  </si>
  <si>
    <t>Inv. PC 07</t>
  </si>
  <si>
    <t>CO #4(No Cost CO)</t>
  </si>
  <si>
    <t>PRC 3352615PC0901</t>
  </si>
  <si>
    <t>Inv. 34796</t>
  </si>
  <si>
    <t>Thompson Solutions Group</t>
  </si>
  <si>
    <t>Vendor:  00002108466</t>
  </si>
  <si>
    <t>RFB #946600-01</t>
  </si>
  <si>
    <t>PRC 3352617PB8900</t>
  </si>
  <si>
    <t>Inv. 101368.011-PC02 Final</t>
  </si>
  <si>
    <t>PRC 3352609PC4901</t>
  </si>
  <si>
    <t>Inv. 9239.02-03</t>
  </si>
  <si>
    <t>PRC 3352512PA6902A</t>
  </si>
  <si>
    <t>Inv. 34977</t>
  </si>
  <si>
    <t>Inv. 34906&amp;34906A should have been one payment</t>
  </si>
  <si>
    <t>PRC 3352612PD6902A</t>
  </si>
  <si>
    <t>Inv. 34977 Should be payment #3</t>
  </si>
  <si>
    <t>Inv. 34946 Should be payment #2</t>
  </si>
  <si>
    <t>Shive Hattery(5)</t>
  </si>
  <si>
    <t>Shive Hattery (5)</t>
  </si>
  <si>
    <t>PO 33526259908</t>
  </si>
  <si>
    <t>Story Construction (3)</t>
  </si>
  <si>
    <t>PO 33526259910</t>
  </si>
  <si>
    <t>Inv. 917181</t>
  </si>
  <si>
    <t>GAX 33526260900</t>
  </si>
  <si>
    <t>Jensen Builders</t>
  </si>
  <si>
    <t>Vendor:  00002115639</t>
  </si>
  <si>
    <t>RFB936600-01</t>
  </si>
  <si>
    <t>PO 33526351900</t>
  </si>
  <si>
    <t>Split w/ MM24</t>
  </si>
  <si>
    <t xml:space="preserve">Total: </t>
  </si>
  <si>
    <t>MM24</t>
  </si>
  <si>
    <t xml:space="preserve">Retainage </t>
  </si>
  <si>
    <t>IET DAS202602115300001</t>
  </si>
  <si>
    <t>DAS2026021153</t>
  </si>
  <si>
    <t>Space Planning Services August 1-31,2025</t>
  </si>
  <si>
    <t>Inv. DAS2026021153</t>
  </si>
  <si>
    <t>DAS Support for August 01-31, 2025</t>
  </si>
  <si>
    <t>Finance Support for August 01-31, 2025</t>
  </si>
  <si>
    <t>PRC 3352630PI9904</t>
  </si>
  <si>
    <t>Inv. 23825001-8</t>
  </si>
  <si>
    <t>PO 33526256900</t>
  </si>
  <si>
    <t>PRC 3352616PB9910</t>
  </si>
  <si>
    <t>Inv. 9279.40-02(100% to DA24)</t>
  </si>
  <si>
    <t>Moving Expense to 9480.01</t>
  </si>
  <si>
    <t>CDE 33526262901</t>
  </si>
  <si>
    <t>PRC 3352630PJ9904</t>
  </si>
  <si>
    <t>Inv. 23825001-10</t>
  </si>
  <si>
    <t>PRC 3352635PB1900</t>
  </si>
  <si>
    <t>Inv. 25028-00003(Split W/MM24)</t>
  </si>
  <si>
    <t>Accurate Commercial</t>
  </si>
  <si>
    <t>Vendor:  00003177484</t>
  </si>
  <si>
    <t>RFB923902-01</t>
  </si>
  <si>
    <t>PO 33526266900</t>
  </si>
  <si>
    <t>Proctor Mechanical</t>
  </si>
  <si>
    <t>Vendor:  00003166259</t>
  </si>
  <si>
    <t>PO 33526266901</t>
  </si>
  <si>
    <t>PRC 3352618PB1901</t>
  </si>
  <si>
    <t>Inv. 2503-02(Split w/DA26)</t>
  </si>
  <si>
    <t>PRC 3352620PJ8908</t>
  </si>
  <si>
    <t>Inv. 23-049 CA 10</t>
  </si>
  <si>
    <t>CO #6(No Cost CO)</t>
  </si>
  <si>
    <t>PO 33526266905</t>
  </si>
  <si>
    <t>CM Staff Hours</t>
  </si>
  <si>
    <t>Received FY26 Funds received from Agency</t>
  </si>
  <si>
    <t>FY26 Funds Received from Agency</t>
  </si>
  <si>
    <t>PRC 3352631PH3900</t>
  </si>
  <si>
    <t>Inv. PC 08</t>
  </si>
  <si>
    <t>MA 21396C</t>
  </si>
  <si>
    <t>PO 33526272905</t>
  </si>
  <si>
    <t>Administration</t>
  </si>
  <si>
    <t>Software</t>
  </si>
  <si>
    <t>PRC 3352616PB3905</t>
  </si>
  <si>
    <t>Inv. 9279.40-02</t>
  </si>
  <si>
    <t>PRC 33526273906</t>
  </si>
  <si>
    <t>Inv. INV052644</t>
  </si>
  <si>
    <t>Inv. INVCL2186</t>
  </si>
  <si>
    <t>PRC 33526275903</t>
  </si>
  <si>
    <t>PRC 3352624PA8405</t>
  </si>
  <si>
    <t>Inv. 106025-1</t>
  </si>
  <si>
    <t>GAX 33526275904</t>
  </si>
  <si>
    <t>Inv. 165085</t>
  </si>
  <si>
    <t>Protex Central V#(00002134903)</t>
  </si>
  <si>
    <t>PRC 3352611PB9900</t>
  </si>
  <si>
    <t>Inv. TP59050</t>
  </si>
  <si>
    <t>PRC 3352614PD8901</t>
  </si>
  <si>
    <t>Inv. 7782.04923903</t>
  </si>
  <si>
    <t>PRC 3352614PD8902</t>
  </si>
  <si>
    <t>Inv. 7783.04923902</t>
  </si>
  <si>
    <t>IET DAS202603115300001</t>
  </si>
  <si>
    <t>2507</t>
  </si>
  <si>
    <t>Finance Support for September 01-30, 2025</t>
  </si>
  <si>
    <t>DAS Support for September 01-30, 2025</t>
  </si>
  <si>
    <t>Inv. INV052848</t>
  </si>
  <si>
    <t>PRC 33526281902</t>
  </si>
  <si>
    <t>PRC 3352608PE6900</t>
  </si>
  <si>
    <t>Inv. 12798</t>
  </si>
  <si>
    <t>PRC 3352630PK9904</t>
  </si>
  <si>
    <t>Inv. 23825001-11</t>
  </si>
  <si>
    <t>Move funds from 923903 to 923902 DA25</t>
  </si>
  <si>
    <t>CDR 33526282903</t>
  </si>
  <si>
    <t>PRC 3352626PA6905</t>
  </si>
  <si>
    <t>Inv. 25-028 PC 01</t>
  </si>
  <si>
    <t>Inv. 23-049 CA 11</t>
  </si>
  <si>
    <t>PRC 3352620PK8908</t>
  </si>
  <si>
    <t>Con-Struct Inc</t>
  </si>
  <si>
    <t>Vendor:  00002110440</t>
  </si>
  <si>
    <t>RFB923902-02</t>
  </si>
  <si>
    <t>PO 33526286905</t>
  </si>
  <si>
    <t>PRC 3352625PA4900</t>
  </si>
  <si>
    <t>Inv. 2514-01</t>
  </si>
  <si>
    <t>PRC 3352635PC1900</t>
  </si>
  <si>
    <t>Inv. 9366.00-Retainage(Split w/MM24)</t>
  </si>
  <si>
    <t>PRC 3352621PI9901</t>
  </si>
  <si>
    <t>Inv. 9358.01-AIA #09</t>
  </si>
  <si>
    <t>PRC 3352609PD4901</t>
  </si>
  <si>
    <t>Inv. 9239.02-04</t>
  </si>
  <si>
    <t>PRC 3352617PD8905</t>
  </si>
  <si>
    <t>Inv. 101368.010-PC04</t>
  </si>
  <si>
    <t>Open PO in FY26 with returned funds-CR 00526266101</t>
  </si>
  <si>
    <t>Boyd Jones (2)</t>
  </si>
  <si>
    <t>PO 33526289901</t>
  </si>
  <si>
    <t>Boyd Jones(2)</t>
  </si>
  <si>
    <t>PRC 3352612PB5900</t>
  </si>
  <si>
    <t>Inv. 9433.00-002</t>
  </si>
  <si>
    <t>PRC 3352612PE6902A</t>
  </si>
  <si>
    <t>Inv. 35013</t>
  </si>
  <si>
    <t>Inv. 35013 Should be payment #4</t>
  </si>
  <si>
    <t>PRC 3352615PD0901</t>
  </si>
  <si>
    <t>Inv. 35012</t>
  </si>
  <si>
    <t>PRC 3352625PL3900</t>
  </si>
  <si>
    <t>Inv. 35011</t>
  </si>
  <si>
    <t>PRC 3352603PD8904</t>
  </si>
  <si>
    <t>Inv. 35015</t>
  </si>
  <si>
    <t>PRC 3352625PB4900</t>
  </si>
  <si>
    <t>Inv. 9475.00-#02</t>
  </si>
  <si>
    <t>Samuels Group (3)</t>
  </si>
  <si>
    <t>PO 33526296905</t>
  </si>
  <si>
    <t>Samuels Group(2)</t>
  </si>
  <si>
    <t>PO 33526297900</t>
  </si>
  <si>
    <t>Correcting PO to be split w/9239.03</t>
  </si>
  <si>
    <t>DA25 9239.02</t>
  </si>
  <si>
    <t>Split w/9239.02</t>
  </si>
  <si>
    <t>DA25 9239.03</t>
  </si>
  <si>
    <t>Split w/9239.03</t>
  </si>
  <si>
    <t>Correcting PO to split w/9239.03</t>
  </si>
  <si>
    <t>Reimbursables-Dumpsters, roll-off, toilets</t>
  </si>
  <si>
    <t>Reimbursables-Temp toilets</t>
  </si>
  <si>
    <t>Reimbursables-Temp Protections, Heat</t>
  </si>
  <si>
    <t>PRC 3352616PC3905</t>
  </si>
  <si>
    <t>Inv. 9279.40-03</t>
  </si>
  <si>
    <t>PRC 33526300902</t>
  </si>
  <si>
    <t>Inv. 2677988</t>
  </si>
  <si>
    <t>4% SG Fees</t>
  </si>
  <si>
    <t>PRC 3352628PA9901</t>
  </si>
  <si>
    <t>Inv. 9466.00-001</t>
  </si>
  <si>
    <t>Inv.9466.00-0X was used in tab one of this vendor, please use 9466.00-00X</t>
  </si>
  <si>
    <t>PRC 3352615PA5902</t>
  </si>
  <si>
    <t>Inv. 29978-FINAL</t>
  </si>
  <si>
    <t>PRC 3352624PB8405</t>
  </si>
  <si>
    <t>Inv. 106025-2</t>
  </si>
  <si>
    <t>Inv. DAS2026031153</t>
  </si>
  <si>
    <t>Inv. DAS2025041153</t>
  </si>
  <si>
    <t>Inv. DAS2025051153</t>
  </si>
  <si>
    <t>Inv. DAS2025081153</t>
  </si>
  <si>
    <t>Inv. DAS2025091153</t>
  </si>
  <si>
    <t>Inv. DAS2025101153</t>
  </si>
  <si>
    <t>Inv. DAS2025111153</t>
  </si>
  <si>
    <t>Inv. DAS2025121153</t>
  </si>
  <si>
    <t>Inv. DAS2025131153</t>
  </si>
  <si>
    <t>PO 33526259902</t>
  </si>
  <si>
    <t>CO  #1</t>
  </si>
  <si>
    <t>MA00525049</t>
  </si>
  <si>
    <t>PO 33526310906</t>
  </si>
  <si>
    <t>DOC-NCF-IPI Homes or Iowa Facility Project Phase II(Warehouse)</t>
  </si>
  <si>
    <r>
      <t xml:space="preserve">DOC-NCF-IPI Homes or Iowa Facility Project Phase II </t>
    </r>
    <r>
      <rPr>
        <b/>
        <sz val="10"/>
        <color indexed="10"/>
        <rFont val="Arial"/>
        <family val="2"/>
      </rPr>
      <t>(SLFRF)</t>
    </r>
    <r>
      <rPr>
        <sz val="10"/>
        <rFont val="Arial"/>
        <family val="2"/>
      </rPr>
      <t>(Warehouse)</t>
    </r>
  </si>
  <si>
    <t>Moving to 9239.02</t>
  </si>
  <si>
    <t>Moving from 9239.03</t>
  </si>
  <si>
    <t>IET DAS202604115300001</t>
  </si>
  <si>
    <t>Space Planning 10/01-10/31/25</t>
  </si>
  <si>
    <t>Space Planning 09/01-09/30/25</t>
  </si>
  <si>
    <t>Inv.  DAS2026041153</t>
  </si>
  <si>
    <t>DAS Support for October 01-31, 2025</t>
  </si>
  <si>
    <t>Finance Support for October 01-31, 2025</t>
  </si>
  <si>
    <t>PRC 3352609PE4901</t>
  </si>
  <si>
    <t>Inv. 9239.02-05</t>
  </si>
  <si>
    <t>Inv. 23825001-12</t>
  </si>
  <si>
    <t>PRC 3352630PL9904</t>
  </si>
  <si>
    <t>PRC 3352612PC5900</t>
  </si>
  <si>
    <t>Inv. 9433.00-003</t>
  </si>
  <si>
    <t xml:space="preserve">Payment G was skipped </t>
  </si>
  <si>
    <t>PRC 3352617PE8905</t>
  </si>
  <si>
    <t>Inv. 101368.010-PC05</t>
  </si>
  <si>
    <t>PRC 3352614PE8902</t>
  </si>
  <si>
    <t>Inv. 7783.05923902 FINAL</t>
  </si>
  <si>
    <t>PRC 3352614PE8901</t>
  </si>
  <si>
    <t>Inv. 7782.05923903 FINAL</t>
  </si>
  <si>
    <t>Inv. INV052002</t>
  </si>
  <si>
    <t>PRC 33526318900</t>
  </si>
  <si>
    <t xml:space="preserve">CO #1 (100% to 9239.02) </t>
  </si>
  <si>
    <t>PRC 3352621PJ9901</t>
  </si>
  <si>
    <t>Inv. 9358.01-AIA #10</t>
  </si>
  <si>
    <t>Inv. 862990</t>
  </si>
  <si>
    <t>PRC 33526318902</t>
  </si>
  <si>
    <t>Closed 11/14/26</t>
  </si>
  <si>
    <t>IET 33526321901</t>
  </si>
  <si>
    <t>PRC 3352612PF6902A</t>
  </si>
  <si>
    <t>Inv. 35045</t>
  </si>
  <si>
    <t>Inv. 35045 Should be payment #5</t>
  </si>
  <si>
    <t>PRC 3352620PL8908</t>
  </si>
  <si>
    <t>Inv. 23-049 CA 12</t>
  </si>
  <si>
    <t>PRC 3352625PA9910</t>
  </si>
  <si>
    <t>Inv. 35048</t>
  </si>
  <si>
    <t>PRC 3352603PE8904</t>
  </si>
  <si>
    <t>Inv. 35047</t>
  </si>
  <si>
    <t>PRC 3352626PB6905</t>
  </si>
  <si>
    <t>Inv. 25-028 PC 02</t>
  </si>
  <si>
    <t>PRC 3352625PM3900</t>
  </si>
  <si>
    <t>Inv. 35043</t>
  </si>
  <si>
    <t>PRC 3352615PE0901</t>
  </si>
  <si>
    <t>Inv. 35044</t>
  </si>
  <si>
    <t>PRC 3352616PD3905</t>
  </si>
  <si>
    <t>Inv. 9279.40-04</t>
  </si>
  <si>
    <t>Waldinger Corp V#(00002116105)</t>
  </si>
  <si>
    <t>PRC 33526324900</t>
  </si>
  <si>
    <t>Inv. 7561410-1</t>
  </si>
  <si>
    <t>Shipping Code: 035</t>
  </si>
  <si>
    <t>Inv. INVCL2330</t>
  </si>
  <si>
    <t>PRC 33526337903</t>
  </si>
  <si>
    <t>PRC 33526337904</t>
  </si>
  <si>
    <t>Inv. INVCL2318</t>
  </si>
  <si>
    <t>PRC 3352616PC9910</t>
  </si>
  <si>
    <t>Inv. 9279.40-03(100% to DA24)</t>
  </si>
  <si>
    <t>PRC 3352627PE0904</t>
  </si>
  <si>
    <t>Inv. 2411-05</t>
  </si>
  <si>
    <t>PRC 3352629PA6905</t>
  </si>
  <si>
    <t>Inv. 7824.01923902</t>
  </si>
  <si>
    <t>PRC 3352629PA7900</t>
  </si>
  <si>
    <t>Inv. 7825.01923903</t>
  </si>
  <si>
    <t>Inv. INVCL2327</t>
  </si>
  <si>
    <t>PRC 33526338907</t>
  </si>
  <si>
    <t>ATC Group (4)</t>
  </si>
  <si>
    <t>ATC Group Services (4)</t>
  </si>
  <si>
    <t>Mileage .50 x 540</t>
  </si>
  <si>
    <t>Lead  $17 x 60</t>
  </si>
  <si>
    <t>Field Tech Hours $80 x 120</t>
  </si>
  <si>
    <t>DO 33526339904</t>
  </si>
  <si>
    <t>PRC 3352631PI3900</t>
  </si>
  <si>
    <t>Inv. PC 09</t>
  </si>
  <si>
    <t>PRC 3352628PB9901</t>
  </si>
  <si>
    <t>Inv. 9466.00-002</t>
  </si>
  <si>
    <t>PRC 3352615PA5903</t>
  </si>
  <si>
    <t>Inv. 2636-01</t>
  </si>
  <si>
    <t>PRC 3352601PB0900</t>
  </si>
  <si>
    <t>Inv. 2684330</t>
  </si>
  <si>
    <t>PRC 3352631PA0906</t>
  </si>
  <si>
    <t>Split w/ 9239.03</t>
  </si>
  <si>
    <t>Split w/ 9239.02</t>
  </si>
  <si>
    <t>Inv. TP98180 (Split w/9239.03)</t>
  </si>
  <si>
    <t>Inv. TP98180 (Split w/9239.02)</t>
  </si>
  <si>
    <t>Inv. 2681858</t>
  </si>
  <si>
    <t>PRC 33526346901</t>
  </si>
  <si>
    <t>PRC 3352609PF4901</t>
  </si>
  <si>
    <t>Inv. 9239.02-06</t>
  </si>
  <si>
    <t>PRC 3352625PC4900</t>
  </si>
  <si>
    <t>Inv. 2514-03</t>
  </si>
  <si>
    <t>PRC 3352625PB9910</t>
  </si>
  <si>
    <t>Inv. 35078</t>
  </si>
  <si>
    <t>PRC 3352625PN3900</t>
  </si>
  <si>
    <t>Inv. 35075</t>
  </si>
  <si>
    <t>PRC 3352603PF8904</t>
  </si>
  <si>
    <t>Inv. 35077</t>
  </si>
  <si>
    <t>PRC 3352626PA6901</t>
  </si>
  <si>
    <t>Retainage 3%</t>
  </si>
  <si>
    <t>PRC 3352627PF0904</t>
  </si>
  <si>
    <t>Inv. 2411-06</t>
  </si>
  <si>
    <t>IET 400KDH121625001</t>
  </si>
  <si>
    <t>MOU Amendment #2</t>
  </si>
  <si>
    <t>CO #1 (100% to DA25)</t>
  </si>
  <si>
    <t>IET DAS202605115300001</t>
  </si>
  <si>
    <t>Finance Support for November 1-30, 2025</t>
  </si>
  <si>
    <t>DAS Support for November 1-30, 2025</t>
  </si>
  <si>
    <t>PRC 3352615PF0901</t>
  </si>
  <si>
    <t>Inv. 35076</t>
  </si>
  <si>
    <t>CDE 33526352902</t>
  </si>
  <si>
    <t>Moving expense from 9279.50 to 9279.40</t>
  </si>
  <si>
    <t>PRC 3352627PA2905</t>
  </si>
  <si>
    <t>Inv. 12596</t>
  </si>
  <si>
    <t xml:space="preserve">Professional Personnel </t>
  </si>
  <si>
    <t>PRC 3352631PJ3900</t>
  </si>
  <si>
    <t>Inv. PC 10</t>
  </si>
  <si>
    <t>PRC 3352626PC6905</t>
  </si>
  <si>
    <t>Inv. 25-028 PC 03</t>
  </si>
  <si>
    <t>PRC 3352630PM9904</t>
  </si>
  <si>
    <t>Inv. 23825001-14</t>
  </si>
  <si>
    <t>Inv. 2240007040-502</t>
  </si>
  <si>
    <t>PRC 3352614PB1900</t>
  </si>
  <si>
    <t>PRC 3352628PA6905</t>
  </si>
  <si>
    <t>Inv. 9239.02-#1(Split w/9239.03)</t>
  </si>
  <si>
    <t>Inv. 9239.02-#1(Split w/9239.02)</t>
  </si>
  <si>
    <t>Inv. INVCL2378</t>
  </si>
  <si>
    <t>PRC 33526363906</t>
  </si>
  <si>
    <t>PRC 3352631PB0906</t>
  </si>
  <si>
    <t>Inv. TQ05378(Split w/9239.03)</t>
  </si>
  <si>
    <t>Inv. TQ05378(Split w/9239.02)</t>
  </si>
  <si>
    <t>PRC 3352611PC9900</t>
  </si>
  <si>
    <t>Inv. TP28535</t>
  </si>
  <si>
    <t>PRC 3352611PD9900</t>
  </si>
  <si>
    <t>Inv. TP73965</t>
  </si>
  <si>
    <t>PRC 3352611PE9900</t>
  </si>
  <si>
    <t>Inv. TP44091</t>
  </si>
  <si>
    <t>Closing PO Per PM</t>
  </si>
  <si>
    <t>PRC 3352601PE0908</t>
  </si>
  <si>
    <t>Inv. 2240007040-305</t>
  </si>
  <si>
    <t>PRC 3352602PD8905</t>
  </si>
  <si>
    <t>Inv. 2240007040-404R</t>
  </si>
  <si>
    <t>CW Suter</t>
  </si>
  <si>
    <t>Christiansen Construction</t>
  </si>
  <si>
    <t>Vendor:  00003234520</t>
  </si>
  <si>
    <t>RFB #947500-01</t>
  </si>
  <si>
    <t>PO 33526007908</t>
  </si>
  <si>
    <t>PRC 3352612PD5900</t>
  </si>
  <si>
    <t>Inv. 9433.00-004</t>
  </si>
  <si>
    <t>PRC 3352628PC9901</t>
  </si>
  <si>
    <t>Inv. 9466.00-003</t>
  </si>
  <si>
    <t xml:space="preserve">CO #2 (100% to 9239.02) </t>
  </si>
  <si>
    <t>CO #1(100% to 9239.02)</t>
  </si>
  <si>
    <t>CO #2(100% to 9239.02)</t>
  </si>
  <si>
    <t>IET 41JP2601072601</t>
  </si>
  <si>
    <t>PO 33526012900</t>
  </si>
  <si>
    <t xml:space="preserve">CW Suter </t>
  </si>
  <si>
    <t>Vendor:  00002134879</t>
  </si>
  <si>
    <t>PRC 3352629PB7900</t>
  </si>
  <si>
    <t>Inv. 7825.02923903</t>
  </si>
  <si>
    <t>PRC 3352630PN9904</t>
  </si>
  <si>
    <t>Inv. 23825001-13</t>
  </si>
  <si>
    <t>Space Planning Services December 1-31,2025</t>
  </si>
  <si>
    <t>Inv.  DAS2026061153</t>
  </si>
  <si>
    <t>IET DAS202606115300001</t>
  </si>
  <si>
    <t>Finance Support for December 1-31, 2025</t>
  </si>
  <si>
    <t>DAS Support for December 1-31, 2025</t>
  </si>
  <si>
    <t>PRC 3352616PD9910</t>
  </si>
  <si>
    <t>Inv. 9279.40-04(100% to DA24)</t>
  </si>
  <si>
    <t>PCR 3352621PG9900</t>
  </si>
  <si>
    <t>Inv. 81196</t>
  </si>
  <si>
    <t>PRC 3352616PE3905</t>
  </si>
  <si>
    <t>Inv. 9279.40-05</t>
  </si>
  <si>
    <t>PRC 3352612PG6902A</t>
  </si>
  <si>
    <t>Inv. 35115</t>
  </si>
  <si>
    <t>PRC 3352626PA6900</t>
  </si>
  <si>
    <t>Inv. 2500561-1</t>
  </si>
  <si>
    <t>3% Retainage</t>
  </si>
  <si>
    <t>PRC 3352625PC9910</t>
  </si>
  <si>
    <t>Inv. 35117</t>
  </si>
  <si>
    <t>PRC 3352625PO3900</t>
  </si>
  <si>
    <t>Inv. 35113</t>
  </si>
  <si>
    <t>PRC 3352603PG8904</t>
  </si>
  <si>
    <t>Inv. 35116</t>
  </si>
  <si>
    <t>PRC 3352631PK3900</t>
  </si>
  <si>
    <t>Inv. PC 11</t>
  </si>
  <si>
    <t>CO #1 Changed line 1 &amp; 2</t>
  </si>
  <si>
    <t>PRC 3352609PG4901</t>
  </si>
  <si>
    <t>Inv. 9239.02-07</t>
  </si>
  <si>
    <t>BRUM</t>
  </si>
  <si>
    <t>ICN - General Servs &amp; Equip</t>
  </si>
  <si>
    <t>Inv. 738507 - 9429.00</t>
  </si>
  <si>
    <t>IET 33526020907</t>
  </si>
  <si>
    <t>PRC 3352615PG0901</t>
  </si>
  <si>
    <t>Inv. 35114</t>
  </si>
  <si>
    <t>PRC 3352626PD6905</t>
  </si>
  <si>
    <t>Inv. 25-028 PC 04 FINAL</t>
  </si>
  <si>
    <t>CO #2(Split with 9239.03)</t>
  </si>
  <si>
    <t>PRC 3352624PC8405</t>
  </si>
  <si>
    <t>Inv. 106025-3 - FINAL</t>
  </si>
  <si>
    <t>PRC 3352633PA9904</t>
  </si>
  <si>
    <t>Inv. 2693196</t>
  </si>
  <si>
    <t>PRC 3352629PB6905</t>
  </si>
  <si>
    <t>Inv. 7824.02923902</t>
  </si>
  <si>
    <t>PRC 3352621PK9901</t>
  </si>
  <si>
    <t>Inv. 9358.01 Retention</t>
  </si>
  <si>
    <t>ATC Group (5)</t>
  </si>
  <si>
    <t>ATC Group Services (5)</t>
  </si>
  <si>
    <t>DO 33526026913</t>
  </si>
  <si>
    <t>Lead  $17 x 4</t>
  </si>
  <si>
    <t>Field Tech Hours $80 x 39</t>
  </si>
  <si>
    <t>Mileage .50 x 230</t>
  </si>
  <si>
    <t>PRC 3352617PF8905</t>
  </si>
  <si>
    <t>Inv. 101368.010-PC06 Final</t>
  </si>
  <si>
    <t>PRC 3352626PB6901</t>
  </si>
  <si>
    <t>Inv. 7641.0/2(100% to 9239.02)</t>
  </si>
  <si>
    <t>Inv. 7641.0/1(Split w/9239.02)</t>
  </si>
  <si>
    <t>CO #2(Split with 9239.02)</t>
  </si>
  <si>
    <t>Inv. 7641.0/1(Split with 9239.03)</t>
  </si>
  <si>
    <t>PRC 3352629PC6905</t>
  </si>
  <si>
    <t>Inv. 7824.03923902</t>
  </si>
  <si>
    <t>PRC 3352629PC7900</t>
  </si>
  <si>
    <t>Inv. 7825.03923903</t>
  </si>
  <si>
    <t>PRC 3352628PG2904</t>
  </si>
  <si>
    <t>Inv. 2240007040-207</t>
  </si>
  <si>
    <t>PRC 3352628PD9901</t>
  </si>
  <si>
    <t>Inv. 9466.00-004</t>
  </si>
  <si>
    <t>IET DAS202607115300001</t>
  </si>
  <si>
    <t>Finance Support for January 1-31, 2026</t>
  </si>
  <si>
    <t>DAS Support for January 1-31, 2026</t>
  </si>
  <si>
    <t>PRC 3352612PE5900</t>
  </si>
  <si>
    <t>Inv. 9433.00-005</t>
  </si>
  <si>
    <t>OPN Architects (3)</t>
  </si>
  <si>
    <t>PO 33526040920</t>
  </si>
  <si>
    <t>Construction Admin Phase 1</t>
  </si>
  <si>
    <t>Construction Admin Phase 2</t>
  </si>
  <si>
    <t>Construction Admin Phase 3</t>
  </si>
  <si>
    <t>PRC 3352626PC6901</t>
  </si>
  <si>
    <t>Inv. 7641.0/3(100% to 9239.02)</t>
  </si>
  <si>
    <t>PRC 3352626PB6900</t>
  </si>
  <si>
    <t>Inv. 2500561-2</t>
  </si>
  <si>
    <t>DCI Group(2)</t>
  </si>
  <si>
    <t>PO 33526043912</t>
  </si>
  <si>
    <t>Returning Funds/Closing Project</t>
  </si>
  <si>
    <t>IET 33526047910</t>
  </si>
  <si>
    <t>Closed 02/16/26</t>
  </si>
  <si>
    <t xml:space="preserve">Core Construction Services </t>
  </si>
  <si>
    <t>Core Construction</t>
  </si>
  <si>
    <t>Vendor:  00003201207</t>
  </si>
  <si>
    <t>RFB942900-01</t>
  </si>
  <si>
    <t>PO 33526047903</t>
  </si>
  <si>
    <t>Core Construction(2)</t>
  </si>
  <si>
    <t>PO 33526047904</t>
  </si>
  <si>
    <t>Core Construction Services(2)</t>
  </si>
  <si>
    <t>Seedorff Masonry</t>
  </si>
  <si>
    <t>Vendor:  00002108955</t>
  </si>
  <si>
    <t>PO 33526047905</t>
  </si>
  <si>
    <t>US Erectors. Inc</t>
  </si>
  <si>
    <t>Vendor:  00002137555</t>
  </si>
  <si>
    <t>PO 33526047906</t>
  </si>
  <si>
    <t>US Erectors, Inc</t>
  </si>
  <si>
    <t>Breiholz Conatruction</t>
  </si>
  <si>
    <t>Breiholz Construction</t>
  </si>
  <si>
    <t>Vendor:  00002107863</t>
  </si>
  <si>
    <t>PO 33526047913</t>
  </si>
  <si>
    <t>Bailey Roofing</t>
  </si>
  <si>
    <t>Vendor:  00002118286</t>
  </si>
  <si>
    <t>PO 33526047914</t>
  </si>
  <si>
    <t>Elite Glass and Metal</t>
  </si>
  <si>
    <t>Vendor:  00003078283</t>
  </si>
  <si>
    <t>PO 33526047915</t>
  </si>
  <si>
    <t>PO 33526047911</t>
  </si>
  <si>
    <t>SGH Concepts</t>
  </si>
  <si>
    <t>Vendor:  00003114014</t>
  </si>
  <si>
    <t>PO 33526047902</t>
  </si>
  <si>
    <t>Veit Company</t>
  </si>
  <si>
    <t>Vendor:  00003007320</t>
  </si>
  <si>
    <t>Veit &amp; Company</t>
  </si>
  <si>
    <t>PO 33526047901</t>
  </si>
  <si>
    <t>PRC 3352601PC0900</t>
  </si>
  <si>
    <t>Inv. 2693089</t>
  </si>
  <si>
    <t>PRC 3352612PF5900</t>
  </si>
  <si>
    <t>Inv. 9433.00-006 Retainage</t>
  </si>
  <si>
    <t>PRC 3352609PH4901</t>
  </si>
  <si>
    <t>Inv. 9239.02-08</t>
  </si>
  <si>
    <t>Grazzini Brothers</t>
  </si>
  <si>
    <t>Vendor:  00003235048</t>
  </si>
  <si>
    <t>PO 33526048901</t>
  </si>
  <si>
    <t>JF Ahern Company</t>
  </si>
  <si>
    <t>PO 33526049902</t>
  </si>
  <si>
    <t>Andersen Construction</t>
  </si>
  <si>
    <t>Vendor:  00003235049</t>
  </si>
  <si>
    <t>PO 33526049904</t>
  </si>
  <si>
    <t>PRC 3352625PD9910</t>
  </si>
  <si>
    <t>Inv. 35151</t>
  </si>
  <si>
    <t>Controlled Asbestos</t>
  </si>
  <si>
    <t>Vendor:  00002118118</t>
  </si>
  <si>
    <t>MA00521060C</t>
  </si>
  <si>
    <t>DO 33526050900</t>
  </si>
  <si>
    <t>Abatement &amp; Remediation</t>
  </si>
  <si>
    <t>Non-Friable Disposal</t>
  </si>
  <si>
    <t>Travel 2150.4@.5</t>
  </si>
  <si>
    <t>Line 1</t>
  </si>
  <si>
    <t>Line 7</t>
  </si>
  <si>
    <t>Line 11</t>
  </si>
  <si>
    <t>Line 12</t>
  </si>
  <si>
    <t>PRC 3352627PG0904</t>
  </si>
  <si>
    <t>Inv. 2411-07 FINAL</t>
  </si>
  <si>
    <t>PRC 3352615PH0901</t>
  </si>
  <si>
    <t>Inv. 35150</t>
  </si>
  <si>
    <t>IET 33526051900</t>
  </si>
  <si>
    <t>Returning funds to HHS from Amend #1-NON RIIF Funds</t>
  </si>
  <si>
    <t>MOU Amendment #1- Non RIIF Funds</t>
  </si>
  <si>
    <t>PRC 3352616PE9910</t>
  </si>
  <si>
    <t>Inv. 9279.40-05(100% to DA24)</t>
  </si>
  <si>
    <t>Closing PO Per PM Email</t>
  </si>
  <si>
    <t>PCR 3352621PH9900</t>
  </si>
  <si>
    <t>Inv. 9358.01-08 FINAL</t>
  </si>
  <si>
    <t>PRC 3352631PC0906</t>
  </si>
  <si>
    <t>Inv. TQ32544(100% to 9239.02)</t>
  </si>
  <si>
    <t>PRC 3352616PF3905</t>
  </si>
  <si>
    <t>Inv. 9279.40-06</t>
  </si>
  <si>
    <t>PRC 33526058905</t>
  </si>
  <si>
    <t>Inv. INVCL2575</t>
  </si>
  <si>
    <t>PRC 3352629PD6905</t>
  </si>
  <si>
    <t>Inv. 7824.04923902</t>
  </si>
  <si>
    <t>PRC 3352629PD7900</t>
  </si>
  <si>
    <t>Inv. 7825.04923903</t>
  </si>
  <si>
    <t>Story Construction(3)</t>
  </si>
  <si>
    <t>Story Construction(4)</t>
  </si>
  <si>
    <t>Story Construction (4)</t>
  </si>
  <si>
    <t>PO 33526062920</t>
  </si>
  <si>
    <t xml:space="preserve">Reimbursable </t>
  </si>
  <si>
    <t>PCR 3352621PI9900</t>
  </si>
  <si>
    <t>Inv. 9358.01 Please add retainage</t>
  </si>
  <si>
    <t>Conference Technologies</t>
  </si>
  <si>
    <t>Vendor:  00002133110</t>
  </si>
  <si>
    <t>MA22036D</t>
  </si>
  <si>
    <t>PRC 3352631PD0906</t>
  </si>
  <si>
    <t>Inv. TQ35671(100% to 9239.02)</t>
  </si>
  <si>
    <t>DO 33526063912</t>
  </si>
  <si>
    <t>PRC 3352626PD6901</t>
  </si>
  <si>
    <t>Inv. 7641.0/4(100% to 9239.02)</t>
  </si>
  <si>
    <t>PRC 3352631PL3900</t>
  </si>
  <si>
    <t>Inv. PC 12</t>
  </si>
  <si>
    <t>IET DAS202608115300001</t>
  </si>
  <si>
    <t>Finance Support for February 1-28, 2026</t>
  </si>
  <si>
    <t>DAS Support for February 1-28, 2026</t>
  </si>
  <si>
    <t>Space Planning Services February 01-28, 2026</t>
  </si>
  <si>
    <t>Inv.  DAS2026081153</t>
  </si>
  <si>
    <t>Inv. 23825001-15</t>
  </si>
  <si>
    <t>PRC 3352604PA0920</t>
  </si>
  <si>
    <t>Inv. 881921</t>
  </si>
  <si>
    <t>PRC 33526069905</t>
  </si>
  <si>
    <t>Inv. INVCL2612</t>
  </si>
  <si>
    <t>PRC 33526069906</t>
  </si>
  <si>
    <t>Weitz Company (2)</t>
  </si>
  <si>
    <t>Staffing</t>
  </si>
  <si>
    <t>General Requirements</t>
  </si>
  <si>
    <t>Fee - 3.25%</t>
  </si>
  <si>
    <t>PO 33526069907</t>
  </si>
  <si>
    <t>Closed 03/16/26</t>
  </si>
  <si>
    <t>IET 33526075900</t>
  </si>
  <si>
    <t>Returning funds to Agency - Project Closing</t>
  </si>
  <si>
    <t>PRC 33526075912</t>
  </si>
  <si>
    <t>Inv. INVCL2624</t>
  </si>
  <si>
    <t>PRC 3352626PC6900</t>
  </si>
  <si>
    <t>Inv. 2500561-3</t>
  </si>
  <si>
    <t>PRC 3352605PA0900</t>
  </si>
  <si>
    <t>Inv. 0011040-IN</t>
  </si>
  <si>
    <t>PRC 3352615PB5903</t>
  </si>
  <si>
    <t>Inv. 2636-02</t>
  </si>
  <si>
    <t>VanMaanen Electric (2)</t>
  </si>
  <si>
    <t>Van Maanen Electric(2)</t>
  </si>
  <si>
    <t>927940-03</t>
  </si>
  <si>
    <t>PO 33526077900</t>
  </si>
  <si>
    <t>PRC 3352625PE9910</t>
  </si>
  <si>
    <t>Inv. 35194 Final</t>
  </si>
  <si>
    <t>PRC 3352625PP3900</t>
  </si>
  <si>
    <t>Inv. 35192</t>
  </si>
  <si>
    <t>PRC 3352603PH8904</t>
  </si>
  <si>
    <t>Inv. 35193</t>
  </si>
  <si>
    <t>PRC 3352628PE9901</t>
  </si>
  <si>
    <t>Inv. 9466.00-005</t>
  </si>
  <si>
    <t>PRC 3352615PI0901</t>
  </si>
  <si>
    <t>Inv. 35191</t>
  </si>
  <si>
    <t>Inv. 64526038</t>
  </si>
  <si>
    <t>IET 33526078913</t>
  </si>
  <si>
    <t>ICN - Cummins Testing</t>
  </si>
  <si>
    <t>PRC 3352609PI4901</t>
  </si>
  <si>
    <t>Inv. 9239.02-09</t>
  </si>
  <si>
    <t>PRC 3352625PA9902</t>
  </si>
  <si>
    <t>3% retainage</t>
  </si>
  <si>
    <t>PRC 3352604PA7903</t>
  </si>
  <si>
    <t>Inv. 9429.00-01</t>
  </si>
  <si>
    <t>PRC 3352604PA7904</t>
  </si>
  <si>
    <t>Inv. 92429.00- X was previously used in the project, use 9429.00-00X</t>
  </si>
  <si>
    <t>PRC 3352604PA3912</t>
  </si>
  <si>
    <t>Inv. 25-028 CA 01</t>
  </si>
  <si>
    <t>Inv. 9429.00-001</t>
  </si>
  <si>
    <t>PRC 3352604PA7913</t>
  </si>
  <si>
    <t>PRC 3352625PB9902</t>
  </si>
  <si>
    <t>Inv. 253S122-02</t>
  </si>
  <si>
    <t>PRC 3352616PG3905</t>
  </si>
  <si>
    <t>Inv. 9279.40-07</t>
  </si>
  <si>
    <t>PO 33526049902A</t>
  </si>
  <si>
    <t xml:space="preserve">Changing Vendor Code </t>
  </si>
  <si>
    <r>
      <t xml:space="preserve">Vendor:  </t>
    </r>
    <r>
      <rPr>
        <b/>
        <strike/>
        <sz val="12"/>
        <color rgb="FFFF00FF"/>
        <rFont val="Arial"/>
        <family val="2"/>
      </rPr>
      <t>00002102310</t>
    </r>
  </si>
  <si>
    <t>00002102311</t>
  </si>
  <si>
    <t>PRC 3352604PA9902A</t>
  </si>
  <si>
    <t>Inv. 9779-001</t>
  </si>
  <si>
    <t>DO 33526090907</t>
  </si>
  <si>
    <t>Line #1 Concrete Testing</t>
  </si>
  <si>
    <t>Line #2 Soil &amp; Land Management</t>
  </si>
  <si>
    <t>Line #5 Labor-Project Mngmt</t>
  </si>
  <si>
    <t>Line #6 Labor-Testing Technician</t>
  </si>
  <si>
    <t>Lin #7 Travel</t>
  </si>
  <si>
    <t>Line #9 Specialized Labor</t>
  </si>
  <si>
    <t>Terracon Consultants (3)</t>
  </si>
  <si>
    <t>Vendor:  00002106184</t>
  </si>
  <si>
    <t>PO 33526092912</t>
  </si>
  <si>
    <t>Interstate Power &amp; Light (dba Alliant Energy)</t>
  </si>
  <si>
    <t>Interstate Power &amp; Lights</t>
  </si>
  <si>
    <t>Closing Per PM Email</t>
  </si>
  <si>
    <t>PRC 3352629PE7900</t>
  </si>
  <si>
    <t>Inv. 7825.05923903</t>
  </si>
  <si>
    <t>PRC 3352629PE6905</t>
  </si>
  <si>
    <t>Inv. 7824.05923902</t>
  </si>
  <si>
    <t>PRC 3352631PE0906</t>
  </si>
  <si>
    <t>Inv. TQ50954 (100% to 9239.02)</t>
  </si>
  <si>
    <t>PRC 3352626PE6901</t>
  </si>
  <si>
    <t>Inv. 7641.0/5(Split with 9239.03)</t>
  </si>
  <si>
    <t>Inv. 7641.0/5(Split with 9239.02)</t>
  </si>
  <si>
    <t>IET DAS202609115300001</t>
  </si>
  <si>
    <t>Finance Support for March 01-31, 2026</t>
  </si>
  <si>
    <t>DAS Support for March 01-31, 2026</t>
  </si>
  <si>
    <t>Space Planning Services:  March 01-31, 2026</t>
  </si>
  <si>
    <t>Inv.  DAS2026091153</t>
  </si>
  <si>
    <t>PRC 3352608PF6900</t>
  </si>
  <si>
    <t>PRC 3352601PF0908</t>
  </si>
  <si>
    <t>Inv. 2240007040-306</t>
  </si>
  <si>
    <t>PRC 3352628PH2904</t>
  </si>
  <si>
    <t>Inv. 2240007040-208</t>
  </si>
  <si>
    <t>PRC 3352614PC1900</t>
  </si>
  <si>
    <t>Inv. 2240007040-503</t>
  </si>
  <si>
    <t>PRC 3352605PB0900</t>
  </si>
  <si>
    <t>Inv. 0011054-IN-FINAL</t>
  </si>
  <si>
    <t>PRC 3352604PB0920</t>
  </si>
  <si>
    <t>Vendor previously used Inv. 23825001-X in this project, please add B</t>
  </si>
  <si>
    <t>Inv. 23825001-2B</t>
  </si>
  <si>
    <t>PRC 3352615PC5903</t>
  </si>
  <si>
    <t>Inv. 2636-03</t>
  </si>
  <si>
    <t>CO #3 (No Cost CO)</t>
  </si>
  <si>
    <t>PRC 3352606PA9907</t>
  </si>
  <si>
    <t>Inv. 9429.00-CA-01</t>
  </si>
  <si>
    <t>All Makes - Furniture - Phase 1</t>
  </si>
  <si>
    <t>All Makes - Furniture Phase 1</t>
  </si>
  <si>
    <t>Vendor:  00002110818</t>
  </si>
  <si>
    <t>MA23148</t>
  </si>
  <si>
    <t>DO 33526105913</t>
  </si>
  <si>
    <t>PRC 3352604PB3912</t>
  </si>
  <si>
    <t>Inv. 25-028 CA 02</t>
  </si>
  <si>
    <t>CO #3(100% to 9239.02)</t>
  </si>
  <si>
    <t>PRC 3352628PF9901</t>
  </si>
  <si>
    <t>Inv. 9466.00-006</t>
  </si>
  <si>
    <t>PRC 3352604PA7902</t>
  </si>
  <si>
    <t>Inv. 011461</t>
  </si>
  <si>
    <t>PRC 3352609PJ4901</t>
  </si>
  <si>
    <t>Inv. 9239.02-10</t>
  </si>
  <si>
    <t>PRC 3352606PA2920</t>
  </si>
  <si>
    <t>Inv. 35227</t>
  </si>
  <si>
    <t>PRC 3352615PJ0901</t>
  </si>
  <si>
    <t>Inv. 35225</t>
  </si>
  <si>
    <t>PRC 3352625PQ3900</t>
  </si>
  <si>
    <t>Inv. 35224</t>
  </si>
  <si>
    <t>PRC 3352628PB6905</t>
  </si>
  <si>
    <t>Inv. 9239.02-#2(Split w/9239.03)</t>
  </si>
  <si>
    <t>Inv. 9239.02-#2(Split w/9239.02)</t>
  </si>
  <si>
    <t>PRC 3352626PD6900</t>
  </si>
  <si>
    <t>Inv. 2500561-4</t>
  </si>
  <si>
    <t>CO #2(Split w/DA24)</t>
  </si>
  <si>
    <t>Check received from DCI group</t>
  </si>
  <si>
    <t>Closing out PO per PM Email</t>
  </si>
  <si>
    <t>PO closed in Iowa Advantage for $26260.18  Spreadsheet will not match as a refund check for $159.30 was received</t>
  </si>
  <si>
    <t>PRC 3352625PA9908</t>
  </si>
  <si>
    <t>Inv. 2240007040-701</t>
  </si>
  <si>
    <t>Controlled Asbestos (2)</t>
  </si>
  <si>
    <t>Line 3</t>
  </si>
  <si>
    <t>Remediation Services 190hrs@68</t>
  </si>
  <si>
    <t>Non-Friable Disposal 1ton @100</t>
  </si>
  <si>
    <t>DO 33526118911</t>
  </si>
  <si>
    <t>Travel 1280@.50</t>
  </si>
  <si>
    <t>PRC 3352631PF0906</t>
  </si>
  <si>
    <t>Inv. TQ68316 (100% to 9239.02)</t>
  </si>
  <si>
    <t>Space Planning May 01-31, 2025</t>
  </si>
  <si>
    <t>Line 8 Hygienist Hourly 125@$95</t>
  </si>
  <si>
    <t>Splitting with MM24</t>
  </si>
  <si>
    <t>Electrical Services August1-31,2025</t>
  </si>
  <si>
    <t>Asbestos Abatement 244@68</t>
  </si>
  <si>
    <t>Asbestos $12 ea x 10</t>
  </si>
  <si>
    <t>Hygienist Hours $100 x 24</t>
  </si>
  <si>
    <t>Hygienist Hours $100 x 40</t>
  </si>
  <si>
    <t>Asbestos $12 ea x 350</t>
  </si>
  <si>
    <t>Asbestos $12 x 200</t>
  </si>
  <si>
    <t>Hygienist Hours $100 x 35</t>
  </si>
  <si>
    <t>Asbestos $10ea x 60</t>
  </si>
  <si>
    <t>Hygienist Hours $95 x 50</t>
  </si>
  <si>
    <t>Hygienist Hours $95 x 45</t>
  </si>
  <si>
    <t>Hygienist Hours $95 x 6</t>
  </si>
  <si>
    <t>Hygienist Hours $95 x 3</t>
  </si>
  <si>
    <t>Hygienist Hours $95 x 15</t>
  </si>
  <si>
    <t>Hygienist Hours $95 x 115</t>
  </si>
  <si>
    <t>Hygienist Hours $95 x 12</t>
  </si>
  <si>
    <t xml:space="preserve">Hygienist Hours $95 x </t>
  </si>
  <si>
    <t>Asbestos $10ea x 80</t>
  </si>
  <si>
    <t>Hygienist Hours $95 x 4</t>
  </si>
  <si>
    <t>Asbestos $10ea x 110</t>
  </si>
  <si>
    <t>Hygienist Hours $95 x 18.5</t>
  </si>
  <si>
    <r>
      <rPr>
        <b/>
        <sz val="10"/>
        <color indexed="10"/>
        <rFont val="Arial"/>
        <family val="2"/>
      </rPr>
      <t>CO #1</t>
    </r>
    <r>
      <rPr>
        <sz val="10"/>
        <color indexed="10"/>
        <rFont val="Arial"/>
        <family val="2"/>
      </rPr>
      <t xml:space="preserve"> Asbestos $10ea x 38</t>
    </r>
  </si>
  <si>
    <r>
      <rPr>
        <b/>
        <sz val="10"/>
        <color indexed="10"/>
        <rFont val="Arial"/>
        <family val="2"/>
      </rPr>
      <t>CO #1</t>
    </r>
    <r>
      <rPr>
        <sz val="10"/>
        <color indexed="10"/>
        <rFont val="Arial"/>
        <family val="2"/>
      </rPr>
      <t xml:space="preserve"> Asbestos $10ea x 62</t>
    </r>
  </si>
  <si>
    <t>Fire Alarm Phase 3 - Birch &amp; Powerhouse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</si>
</sst>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m/d/yy;@"/>
  </numFmts>
  <fonts count="51" x14ac:knownFonts="1">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1"/>
      <color indexed="10"/>
      <name val="Arial"/>
      <family val="2"/>
    </font>
    <font>
      <b/>
      <sz val="12"/>
      <color indexed="52"/>
      <name val="Arial"/>
      <family val="2"/>
    </font>
    <font>
      <b/>
      <sz val="11"/>
      <name val="Arial"/>
      <family val="2"/>
    </font>
    <font>
      <sz val="10"/>
      <color indexed="10"/>
      <name val="Arial"/>
      <family val="2"/>
    </font>
    <font>
      <sz val="9"/>
      <color indexed="81"/>
      <name val="Tahoma"/>
      <family val="2"/>
    </font>
    <font>
      <b/>
      <sz val="9"/>
      <color indexed="81"/>
      <name val="Tahoma"/>
      <family val="2"/>
    </font>
    <font>
      <b/>
      <sz val="10"/>
      <color indexed="10"/>
      <name val="Arial"/>
      <family val="2"/>
    </font>
    <font>
      <sz val="11"/>
      <color indexed="81"/>
      <name val="Tahoma"/>
      <family val="2"/>
    </font>
    <font>
      <b/>
      <sz val="11"/>
      <color indexed="81"/>
      <name val="Tahoma"/>
      <family val="2"/>
    </font>
    <font>
      <i/>
      <sz val="12"/>
      <name val="Arial"/>
      <family val="2"/>
    </font>
    <font>
      <sz val="11"/>
      <color theme="1"/>
      <name val="Calibri"/>
      <family val="2"/>
      <scheme val="minor"/>
    </font>
    <font>
      <b/>
      <sz val="10"/>
      <color rgb="FF0000FF"/>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rgb="FF92D050"/>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rgb="FF000000"/>
      <name val="Arial"/>
      <family val="2"/>
    </font>
    <font>
      <b/>
      <i/>
      <sz val="12"/>
      <color rgb="FFFF0000"/>
      <name val="Arial"/>
      <family val="2"/>
    </font>
    <font>
      <b/>
      <sz val="11"/>
      <color rgb="FFFF0000"/>
      <name val="Calibri"/>
      <family val="2"/>
      <scheme val="minor"/>
    </font>
    <font>
      <b/>
      <sz val="11"/>
      <color rgb="FFFF0000"/>
      <name val="Arial"/>
      <family val="2"/>
    </font>
    <font>
      <i/>
      <sz val="12"/>
      <color rgb="FFFF0000"/>
      <name val="Arial"/>
      <family val="2"/>
    </font>
    <font>
      <sz val="10"/>
      <color rgb="FFFF0000"/>
      <name val="MS Sans Serif"/>
      <family val="2"/>
    </font>
    <font>
      <sz val="11"/>
      <color rgb="FFFF0000"/>
      <name val="Arial"/>
      <family val="2"/>
    </font>
    <font>
      <sz val="11"/>
      <color rgb="FFFF0000"/>
      <name val="Calibri"/>
      <family val="2"/>
      <scheme val="minor"/>
    </font>
    <font>
      <b/>
      <sz val="14"/>
      <color rgb="FFFF0000"/>
      <name val="Arial"/>
      <family val="2"/>
    </font>
    <font>
      <sz val="11"/>
      <name val="Calibri"/>
      <family val="2"/>
      <scheme val="minor"/>
    </font>
    <font>
      <b/>
      <strike/>
      <sz val="12"/>
      <color rgb="FFFF00FF"/>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cellStyleXfs>
  <cellXfs count="591">
    <xf numFmtId="0" fontId="0" fillId="0" borderId="0" xfId="0"/>
    <xf numFmtId="0" fontId="2" fillId="0" borderId="0" xfId="5" applyFont="1"/>
    <xf numFmtId="40" fontId="2" fillId="0" borderId="0" xfId="5" applyNumberFormat="1" applyFont="1" applyAlignment="1">
      <alignment horizontal="right"/>
    </xf>
    <xf numFmtId="40" fontId="2" fillId="0" borderId="0" xfId="5" applyNumberFormat="1" applyFont="1"/>
    <xf numFmtId="40" fontId="2" fillId="0" borderId="0" xfId="5" applyNumberFormat="1" applyFont="1" applyAlignment="1">
      <alignment horizontal="center"/>
    </xf>
    <xf numFmtId="0" fontId="4" fillId="0" borderId="0" xfId="5" applyFont="1"/>
    <xf numFmtId="4" fontId="2" fillId="0" borderId="0" xfId="6" applyNumberFormat="1" applyFont="1"/>
    <xf numFmtId="0" fontId="8" fillId="0" borderId="0" xfId="0" applyFont="1"/>
    <xf numFmtId="0" fontId="11" fillId="0" borderId="0" xfId="0" applyFont="1" applyAlignment="1">
      <alignment horizontal="center"/>
    </xf>
    <xf numFmtId="49" fontId="11" fillId="0" borderId="0" xfId="0" applyNumberFormat="1" applyFont="1" applyAlignment="1">
      <alignment horizontal="center"/>
    </xf>
    <xf numFmtId="44" fontId="11" fillId="0" borderId="0" xfId="2" applyFont="1"/>
    <xf numFmtId="49" fontId="1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44" fontId="2" fillId="0" borderId="0" xfId="2" applyFont="1" applyAlignment="1">
      <alignment horizontal="right"/>
    </xf>
    <xf numFmtId="0" fontId="2" fillId="0" borderId="0" xfId="0" applyFont="1" applyAlignment="1">
      <alignment horizontal="center" wrapText="1"/>
    </xf>
    <xf numFmtId="39" fontId="2" fillId="0" borderId="0" xfId="2" applyNumberFormat="1" applyFont="1" applyAlignment="1"/>
    <xf numFmtId="164" fontId="2" fillId="0" borderId="0" xfId="0" applyNumberFormat="1" applyFont="1" applyAlignment="1">
      <alignment horizontal="center"/>
    </xf>
    <xf numFmtId="4" fontId="24" fillId="0" borderId="0" xfId="0" applyNumberFormat="1" applyFont="1"/>
    <xf numFmtId="164" fontId="0" fillId="0" borderId="0" xfId="0" applyNumberFormat="1" applyAlignment="1">
      <alignment horizontal="center"/>
    </xf>
    <xf numFmtId="4" fontId="2" fillId="0" borderId="0" xfId="0" applyNumberFormat="1" applyFont="1" applyAlignment="1">
      <alignment horizontal="right"/>
    </xf>
    <xf numFmtId="49" fontId="2" fillId="0" borderId="0" xfId="0" applyNumberFormat="1" applyFont="1" applyAlignment="1">
      <alignment horizontal="center"/>
    </xf>
    <xf numFmtId="49" fontId="0" fillId="0" borderId="0" xfId="0" applyNumberFormat="1" applyAlignment="1">
      <alignment horizontal="center"/>
    </xf>
    <xf numFmtId="0" fontId="0" fillId="0" borderId="0" xfId="0" applyAlignment="1">
      <alignment horizontal="center"/>
    </xf>
    <xf numFmtId="4" fontId="3" fillId="0" borderId="0" xfId="2" applyNumberFormat="1" applyFont="1"/>
    <xf numFmtId="4" fontId="2" fillId="0" borderId="0" xfId="2" applyNumberFormat="1" applyFont="1"/>
    <xf numFmtId="0" fontId="0" fillId="0" borderId="1" xfId="0" applyBorder="1" applyAlignment="1">
      <alignment horizontal="center"/>
    </xf>
    <xf numFmtId="49" fontId="4" fillId="0" borderId="1" xfId="0" applyNumberFormat="1" applyFont="1" applyBorder="1" applyAlignment="1">
      <alignment horizontal="center"/>
    </xf>
    <xf numFmtId="4" fontId="4" fillId="0" borderId="1" xfId="2" applyNumberFormat="1" applyFont="1" applyBorder="1"/>
    <xf numFmtId="0" fontId="4" fillId="0" borderId="1" xfId="0"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0" xfId="5" applyNumberFormat="1" applyFont="1" applyAlignment="1">
      <alignment horizontal="center"/>
    </xf>
    <xf numFmtId="0" fontId="25" fillId="0" borderId="0" xfId="0" applyFont="1"/>
    <xf numFmtId="40" fontId="26" fillId="0" borderId="0" xfId="5" applyNumberFormat="1" applyFont="1"/>
    <xf numFmtId="0" fontId="27" fillId="0" borderId="0" xfId="0" applyFont="1"/>
    <xf numFmtId="0" fontId="28" fillId="0" borderId="2" xfId="5" applyFont="1" applyBorder="1" applyAlignment="1">
      <alignment horizontal="center" textRotation="90" wrapText="1"/>
    </xf>
    <xf numFmtId="49" fontId="28" fillId="0" borderId="2" xfId="1" applyNumberFormat="1" applyFont="1" applyBorder="1" applyAlignment="1">
      <alignment horizontal="center" textRotation="90" wrapText="1"/>
    </xf>
    <xf numFmtId="40" fontId="28" fillId="0" borderId="2" xfId="1" applyNumberFormat="1" applyFont="1" applyBorder="1" applyAlignment="1">
      <alignment horizontal="center" wrapText="1"/>
    </xf>
    <xf numFmtId="40" fontId="4" fillId="0" borderId="2" xfId="5" applyNumberFormat="1" applyFont="1" applyBorder="1" applyAlignment="1">
      <alignment horizontal="center" wrapText="1"/>
    </xf>
    <xf numFmtId="0" fontId="2" fillId="0" borderId="0" xfId="5" applyFont="1" applyAlignment="1">
      <alignment horizontal="center"/>
    </xf>
    <xf numFmtId="49" fontId="5" fillId="0" borderId="0" xfId="0" applyNumberFormat="1" applyFont="1" applyAlignment="1">
      <alignment horizontal="center" wrapText="1"/>
    </xf>
    <xf numFmtId="40" fontId="4" fillId="2" borderId="0" xfId="5" applyNumberFormat="1" applyFont="1" applyFill="1"/>
    <xf numFmtId="40" fontId="30" fillId="0" borderId="0" xfId="5" applyNumberFormat="1" applyFont="1" applyAlignment="1">
      <alignment horizontal="center"/>
    </xf>
    <xf numFmtId="40" fontId="4" fillId="2" borderId="3" xfId="5" applyNumberFormat="1" applyFont="1" applyFill="1" applyBorder="1" applyAlignment="1">
      <alignment horizontal="right"/>
    </xf>
    <xf numFmtId="40" fontId="4" fillId="2" borderId="1" xfId="5" applyNumberFormat="1" applyFont="1" applyFill="1" applyBorder="1" applyAlignment="1">
      <alignment horizontal="right"/>
    </xf>
    <xf numFmtId="40" fontId="4" fillId="2" borderId="0" xfId="5" applyNumberFormat="1" applyFont="1" applyFill="1" applyAlignment="1">
      <alignment horizontal="right"/>
    </xf>
    <xf numFmtId="40" fontId="4" fillId="2" borderId="4" xfId="5" applyNumberFormat="1" applyFont="1" applyFill="1" applyBorder="1" applyAlignment="1">
      <alignment horizontal="right"/>
    </xf>
    <xf numFmtId="0" fontId="2" fillId="3" borderId="0" xfId="5" applyFont="1" applyFill="1" applyAlignment="1">
      <alignment horizontal="center"/>
    </xf>
    <xf numFmtId="49" fontId="2" fillId="3" borderId="0" xfId="5" applyNumberFormat="1" applyFont="1" applyFill="1" applyAlignment="1">
      <alignment horizontal="center"/>
    </xf>
    <xf numFmtId="0" fontId="4" fillId="3" borderId="0" xfId="5" applyFont="1" applyFill="1"/>
    <xf numFmtId="40" fontId="2" fillId="3" borderId="0" xfId="5" applyNumberFormat="1" applyFont="1" applyFill="1" applyAlignment="1">
      <alignment horizontal="center"/>
    </xf>
    <xf numFmtId="40" fontId="2" fillId="3" borderId="0" xfId="5" applyNumberFormat="1" applyFont="1" applyFill="1"/>
    <xf numFmtId="0" fontId="27" fillId="3" borderId="0" xfId="0" applyFont="1" applyFill="1"/>
    <xf numFmtId="0" fontId="2" fillId="0" borderId="5" xfId="5" applyFont="1" applyBorder="1" applyAlignment="1">
      <alignment horizontal="center"/>
    </xf>
    <xf numFmtId="49" fontId="2" fillId="0" borderId="5" xfId="5" applyNumberFormat="1" applyFont="1" applyBorder="1" applyAlignment="1">
      <alignment horizontal="center"/>
    </xf>
    <xf numFmtId="0" fontId="4" fillId="0" borderId="5" xfId="5" applyFont="1" applyBorder="1"/>
    <xf numFmtId="40" fontId="2" fillId="0" borderId="5" xfId="5" applyNumberFormat="1" applyFont="1" applyBorder="1" applyAlignment="1">
      <alignment horizontal="center"/>
    </xf>
    <xf numFmtId="40" fontId="31" fillId="0" borderId="5" xfId="5" applyNumberFormat="1" applyFont="1" applyBorder="1" applyAlignment="1">
      <alignment horizontal="center" vertical="center"/>
    </xf>
    <xf numFmtId="40" fontId="31" fillId="0" borderId="5" xfId="5" applyNumberFormat="1" applyFont="1" applyBorder="1" applyAlignment="1">
      <alignment horizontal="center" wrapText="1"/>
    </xf>
    <xf numFmtId="49" fontId="2" fillId="0" borderId="5" xfId="0" applyNumberFormat="1" applyFont="1" applyBorder="1" applyAlignment="1">
      <alignment horizontal="center" vertical="center" wrapText="1"/>
    </xf>
    <xf numFmtId="0" fontId="2" fillId="0" borderId="5" xfId="5" applyFont="1" applyBorder="1"/>
    <xf numFmtId="49" fontId="2" fillId="0" borderId="7" xfId="5" applyNumberFormat="1" applyFont="1" applyBorder="1" applyAlignment="1">
      <alignment horizontal="center"/>
    </xf>
    <xf numFmtId="40" fontId="4" fillId="0" borderId="5" xfId="5" applyNumberFormat="1" applyFont="1" applyBorder="1"/>
    <xf numFmtId="40" fontId="2" fillId="0" borderId="5" xfId="5" applyNumberFormat="1" applyFont="1" applyBorder="1"/>
    <xf numFmtId="0" fontId="32" fillId="0" borderId="5" xfId="0" applyFont="1" applyBorder="1"/>
    <xf numFmtId="40" fontId="29" fillId="0" borderId="8" xfId="0" applyNumberFormat="1" applyFont="1" applyBorder="1" applyAlignment="1">
      <alignment horizontal="center"/>
    </xf>
    <xf numFmtId="8" fontId="4" fillId="0" borderId="8" xfId="5" applyNumberFormat="1" applyFont="1" applyBorder="1" applyAlignment="1">
      <alignment horizontal="center"/>
    </xf>
    <xf numFmtId="49" fontId="2" fillId="0" borderId="2" xfId="5" applyNumberFormat="1" applyFont="1" applyBorder="1" applyAlignment="1">
      <alignment horizontal="center"/>
    </xf>
    <xf numFmtId="0" fontId="2" fillId="0" borderId="2" xfId="5" applyFont="1" applyBorder="1"/>
    <xf numFmtId="40" fontId="2" fillId="0" borderId="2" xfId="5" applyNumberFormat="1" applyFont="1" applyBorder="1" applyAlignment="1">
      <alignment horizontal="center"/>
    </xf>
    <xf numFmtId="8" fontId="2" fillId="0" borderId="2" xfId="5" applyNumberFormat="1" applyFont="1" applyBorder="1" applyAlignment="1">
      <alignment horizontal="center"/>
    </xf>
    <xf numFmtId="8" fontId="27" fillId="0" borderId="2" xfId="0" applyNumberFormat="1" applyFont="1" applyBorder="1" applyAlignment="1">
      <alignment horizontal="center"/>
    </xf>
    <xf numFmtId="8" fontId="2" fillId="0" borderId="0" xfId="5" applyNumberFormat="1" applyFont="1" applyAlignment="1">
      <alignment horizontal="center"/>
    </xf>
    <xf numFmtId="8" fontId="27" fillId="0" borderId="0" xfId="0" applyNumberFormat="1" applyFont="1" applyAlignment="1">
      <alignment horizontal="center"/>
    </xf>
    <xf numFmtId="49" fontId="4" fillId="0" borderId="0" xfId="5" applyNumberFormat="1" applyFont="1" applyAlignment="1">
      <alignment horizontal="center"/>
    </xf>
    <xf numFmtId="8" fontId="29" fillId="0" borderId="1" xfId="0" applyNumberFormat="1" applyFont="1" applyBorder="1" applyAlignment="1">
      <alignment horizontal="center"/>
    </xf>
    <xf numFmtId="0" fontId="4" fillId="0" borderId="0" xfId="6" applyFont="1"/>
    <xf numFmtId="0" fontId="6" fillId="0" borderId="0" xfId="6" applyFont="1"/>
    <xf numFmtId="0" fontId="7" fillId="0" borderId="0" xfId="6" applyFont="1"/>
    <xf numFmtId="0" fontId="2" fillId="0" borderId="0" xfId="6" applyFont="1"/>
    <xf numFmtId="164" fontId="9" fillId="0" borderId="0" xfId="4" applyNumberFormat="1" applyFont="1"/>
    <xf numFmtId="1" fontId="14" fillId="0" borderId="0" xfId="4" applyNumberFormat="1" applyFont="1" applyAlignment="1">
      <alignment horizontal="left"/>
    </xf>
    <xf numFmtId="4" fontId="33" fillId="0" borderId="0" xfId="6" applyNumberFormat="1" applyFont="1"/>
    <xf numFmtId="40" fontId="10" fillId="0" borderId="0" xfId="4" applyNumberFormat="1" applyFont="1"/>
    <xf numFmtId="164" fontId="7" fillId="0" borderId="0" xfId="6" applyNumberFormat="1" applyFont="1"/>
    <xf numFmtId="164" fontId="7" fillId="0" borderId="0" xfId="4" applyNumberFormat="1" applyFont="1"/>
    <xf numFmtId="0" fontId="7" fillId="0" borderId="0" xfId="6" applyFont="1" applyAlignment="1">
      <alignment wrapText="1"/>
    </xf>
    <xf numFmtId="4" fontId="4" fillId="0" borderId="0" xfId="6" applyNumberFormat="1" applyFont="1"/>
    <xf numFmtId="0" fontId="4" fillId="0" borderId="2" xfId="6" applyFont="1" applyBorder="1"/>
    <xf numFmtId="0" fontId="4" fillId="0" borderId="2" xfId="6" applyFont="1" applyBorder="1" applyAlignment="1">
      <alignment horizontal="center" wrapText="1"/>
    </xf>
    <xf numFmtId="40" fontId="4" fillId="0" borderId="2" xfId="6" applyNumberFormat="1" applyFont="1" applyBorder="1"/>
    <xf numFmtId="40" fontId="4" fillId="0" borderId="2" xfId="6" applyNumberFormat="1" applyFont="1" applyBorder="1" applyAlignment="1">
      <alignment horizontal="center"/>
    </xf>
    <xf numFmtId="40" fontId="4" fillId="0" borderId="2" xfId="6" applyNumberFormat="1" applyFont="1" applyBorder="1" applyAlignment="1">
      <alignment horizontal="center" wrapText="1"/>
    </xf>
    <xf numFmtId="4" fontId="4" fillId="0" borderId="0" xfId="6" applyNumberFormat="1" applyFont="1" applyAlignment="1">
      <alignment horizontal="center"/>
    </xf>
    <xf numFmtId="40" fontId="2" fillId="0" borderId="0" xfId="6" applyNumberFormat="1" applyFont="1" applyAlignment="1">
      <alignment horizontal="center"/>
    </xf>
    <xf numFmtId="40" fontId="2" fillId="0" borderId="0" xfId="6" applyNumberFormat="1" applyFont="1"/>
    <xf numFmtId="0" fontId="2" fillId="0" borderId="0" xfId="6" applyFont="1" applyAlignment="1">
      <alignment horizontal="center"/>
    </xf>
    <xf numFmtId="4" fontId="2" fillId="0" borderId="0" xfId="6" applyNumberFormat="1" applyFont="1" applyAlignment="1">
      <alignment horizontal="center"/>
    </xf>
    <xf numFmtId="40" fontId="2" fillId="0" borderId="0" xfId="4" applyNumberFormat="1" applyAlignment="1">
      <alignment horizontal="center"/>
    </xf>
    <xf numFmtId="0" fontId="15" fillId="0" borderId="0" xfId="6" applyFont="1"/>
    <xf numFmtId="0" fontId="15" fillId="0" borderId="1" xfId="6" applyFont="1" applyBorder="1" applyAlignment="1">
      <alignment horizontal="left"/>
    </xf>
    <xf numFmtId="40" fontId="15" fillId="0" borderId="1" xfId="6" applyNumberFormat="1" applyFont="1" applyBorder="1"/>
    <xf numFmtId="0" fontId="1" fillId="0" borderId="0" xfId="6"/>
    <xf numFmtId="0" fontId="34" fillId="0" borderId="0" xfId="0" applyFont="1"/>
    <xf numFmtId="0" fontId="35" fillId="0" borderId="0" xfId="5" applyFont="1"/>
    <xf numFmtId="40" fontId="4" fillId="0" borderId="0" xfId="0" applyNumberFormat="1" applyFont="1"/>
    <xf numFmtId="1" fontId="35" fillId="0" borderId="0" xfId="5" applyNumberFormat="1" applyFont="1"/>
    <xf numFmtId="40" fontId="34" fillId="0" borderId="0" xfId="5" applyNumberFormat="1" applyFont="1"/>
    <xf numFmtId="0" fontId="36" fillId="0" borderId="0" xfId="6" applyFont="1"/>
    <xf numFmtId="40" fontId="2" fillId="0" borderId="0" xfId="1" applyNumberFormat="1" applyFont="1" applyAlignment="1">
      <alignment horizontal="center"/>
    </xf>
    <xf numFmtId="4" fontId="23" fillId="0" borderId="0" xfId="2" applyNumberFormat="1" applyFont="1"/>
    <xf numFmtId="164" fontId="37" fillId="0" borderId="0" xfId="0" applyNumberFormat="1" applyFont="1"/>
    <xf numFmtId="44" fontId="23" fillId="0" borderId="0" xfId="2" applyFont="1"/>
    <xf numFmtId="0" fontId="4" fillId="0" borderId="2" xfId="0" applyFont="1" applyBorder="1" applyAlignment="1">
      <alignment horizontal="center"/>
    </xf>
    <xf numFmtId="49" fontId="4" fillId="0" borderId="2" xfId="0" applyNumberFormat="1" applyFont="1" applyBorder="1" applyAlignment="1">
      <alignment horizontal="center" wrapText="1"/>
    </xf>
    <xf numFmtId="44" fontId="4" fillId="0" borderId="2" xfId="2" applyFont="1" applyBorder="1" applyAlignment="1">
      <alignment horizontal="center"/>
    </xf>
    <xf numFmtId="0" fontId="4" fillId="0" borderId="2" xfId="0" applyFont="1" applyBorder="1" applyAlignment="1">
      <alignment horizontal="center" wrapText="1"/>
    </xf>
    <xf numFmtId="44" fontId="4" fillId="0" borderId="2" xfId="2" applyFont="1" applyBorder="1" applyAlignment="1">
      <alignment horizontal="center" wrapText="1"/>
    </xf>
    <xf numFmtId="0" fontId="32" fillId="0" borderId="0" xfId="0" applyFont="1"/>
    <xf numFmtId="165" fontId="2" fillId="0" borderId="0" xfId="2" applyNumberFormat="1" applyFont="1" applyAlignment="1">
      <alignment horizontal="center"/>
    </xf>
    <xf numFmtId="4" fontId="38" fillId="0" borderId="0" xfId="0" applyNumberFormat="1" applyFont="1" applyAlignment="1">
      <alignment horizontal="right"/>
    </xf>
    <xf numFmtId="165" fontId="0" fillId="0" borderId="0" xfId="0" applyNumberFormat="1" applyAlignment="1">
      <alignment horizontal="center"/>
    </xf>
    <xf numFmtId="44" fontId="4" fillId="0" borderId="1" xfId="2" applyFont="1" applyBorder="1"/>
    <xf numFmtId="40" fontId="6" fillId="0" borderId="0" xfId="4" applyNumberFormat="1" applyFont="1"/>
    <xf numFmtId="0" fontId="6" fillId="0" borderId="0" xfId="4" applyFont="1"/>
    <xf numFmtId="164" fontId="36" fillId="0" borderId="0" xfId="4" applyNumberFormat="1" applyFont="1"/>
    <xf numFmtId="0" fontId="10" fillId="0" borderId="0" xfId="4" applyFont="1"/>
    <xf numFmtId="49" fontId="10" fillId="0" borderId="0" xfId="4" applyNumberFormat="1" applyFont="1" applyAlignment="1">
      <alignment horizontal="left"/>
    </xf>
    <xf numFmtId="164" fontId="15" fillId="0" borderId="0" xfId="0" applyNumberFormat="1" applyFont="1"/>
    <xf numFmtId="0" fontId="7" fillId="0" borderId="0" xfId="4" applyFont="1"/>
    <xf numFmtId="0" fontId="15" fillId="0" borderId="0" xfId="4" applyFont="1"/>
    <xf numFmtId="0" fontId="28" fillId="0" borderId="0" xfId="4" applyFont="1"/>
    <xf numFmtId="0" fontId="2" fillId="0" borderId="0" xfId="4"/>
    <xf numFmtId="40" fontId="7" fillId="0" borderId="0" xfId="4" applyNumberFormat="1" applyFont="1"/>
    <xf numFmtId="0" fontId="7" fillId="0" borderId="0" xfId="4" applyFont="1" applyAlignment="1">
      <alignment horizontal="right"/>
    </xf>
    <xf numFmtId="40" fontId="39" fillId="0" borderId="0" xfId="4" applyNumberFormat="1" applyFont="1"/>
    <xf numFmtId="0" fontId="30" fillId="0" borderId="0" xfId="4" applyFont="1"/>
    <xf numFmtId="40" fontId="28" fillId="0" borderId="0" xfId="4" applyNumberFormat="1" applyFont="1"/>
    <xf numFmtId="164" fontId="7" fillId="0" borderId="0" xfId="4" applyNumberFormat="1" applyFont="1" applyAlignment="1">
      <alignment horizontal="left"/>
    </xf>
    <xf numFmtId="49" fontId="7" fillId="0" borderId="2" xfId="4" applyNumberFormat="1" applyFont="1" applyBorder="1" applyAlignment="1">
      <alignment horizontal="center" wrapText="1"/>
    </xf>
    <xf numFmtId="164" fontId="7" fillId="0" borderId="2" xfId="4" applyNumberFormat="1" applyFont="1" applyBorder="1" applyAlignment="1">
      <alignment horizontal="center"/>
    </xf>
    <xf numFmtId="0" fontId="7" fillId="0" borderId="2" xfId="4" applyFont="1" applyBorder="1" applyAlignment="1">
      <alignment horizontal="center"/>
    </xf>
    <xf numFmtId="40" fontId="7" fillId="0" borderId="2" xfId="4" applyNumberFormat="1" applyFont="1" applyBorder="1" applyAlignment="1">
      <alignment horizontal="center" wrapText="1"/>
    </xf>
    <xf numFmtId="49" fontId="2" fillId="0" borderId="0" xfId="4" applyNumberFormat="1"/>
    <xf numFmtId="164" fontId="2" fillId="0" borderId="0" xfId="4" applyNumberFormat="1" applyAlignment="1">
      <alignment horizontal="center"/>
    </xf>
    <xf numFmtId="164" fontId="2" fillId="0" borderId="0" xfId="4" applyNumberFormat="1" applyAlignment="1">
      <alignment horizontal="left"/>
    </xf>
    <xf numFmtId="4" fontId="2" fillId="0" borderId="0" xfId="4" applyNumberFormat="1" applyAlignment="1">
      <alignment horizontal="center"/>
    </xf>
    <xf numFmtId="4" fontId="2" fillId="0" borderId="0" xfId="4" applyNumberFormat="1"/>
    <xf numFmtId="0" fontId="16" fillId="0" borderId="0" xfId="4" applyFont="1"/>
    <xf numFmtId="4" fontId="4" fillId="0" borderId="0" xfId="4" applyNumberFormat="1" applyFont="1"/>
    <xf numFmtId="0" fontId="2" fillId="0" borderId="0" xfId="4" applyAlignment="1">
      <alignment horizontal="left"/>
    </xf>
    <xf numFmtId="164" fontId="2" fillId="0" borderId="0" xfId="4" applyNumberFormat="1"/>
    <xf numFmtId="164" fontId="4" fillId="0" borderId="0" xfId="4" applyNumberFormat="1" applyFont="1" applyAlignment="1">
      <alignment horizontal="left"/>
    </xf>
    <xf numFmtId="164" fontId="4" fillId="0" borderId="1" xfId="4" applyNumberFormat="1" applyFont="1" applyBorder="1"/>
    <xf numFmtId="40" fontId="2" fillId="0" borderId="0" xfId="4" applyNumberFormat="1"/>
    <xf numFmtId="49" fontId="16" fillId="0" borderId="0" xfId="4" applyNumberFormat="1" applyFont="1"/>
    <xf numFmtId="164" fontId="16" fillId="0" borderId="0" xfId="4" applyNumberFormat="1" applyFont="1" applyAlignment="1">
      <alignment horizontal="left"/>
    </xf>
    <xf numFmtId="164" fontId="16" fillId="0" borderId="0" xfId="4" applyNumberFormat="1" applyFont="1"/>
    <xf numFmtId="40" fontId="16" fillId="0" borderId="0" xfId="4" applyNumberFormat="1" applyFont="1"/>
    <xf numFmtId="164" fontId="7" fillId="0" borderId="2" xfId="4" applyNumberFormat="1" applyFont="1" applyBorder="1" applyAlignment="1">
      <alignment horizontal="center" wrapText="1"/>
    </xf>
    <xf numFmtId="0" fontId="7" fillId="0" borderId="2" xfId="4" applyFont="1" applyBorder="1" applyAlignment="1">
      <alignment horizontal="center" wrapText="1"/>
    </xf>
    <xf numFmtId="49" fontId="2" fillId="0" borderId="0" xfId="4" applyNumberFormat="1" applyAlignment="1">
      <alignment horizontal="center"/>
    </xf>
    <xf numFmtId="4" fontId="38" fillId="0" borderId="0" xfId="4" applyNumberFormat="1" applyFont="1" applyAlignment="1">
      <alignment horizontal="center"/>
    </xf>
    <xf numFmtId="0" fontId="40" fillId="0" borderId="0" xfId="0" applyFont="1"/>
    <xf numFmtId="4" fontId="38" fillId="0" borderId="0" xfId="4" applyNumberFormat="1" applyFont="1"/>
    <xf numFmtId="49" fontId="10" fillId="0" borderId="0" xfId="4" applyNumberFormat="1" applyFont="1"/>
    <xf numFmtId="164" fontId="10" fillId="0" borderId="0" xfId="4" applyNumberFormat="1" applyFont="1"/>
    <xf numFmtId="0" fontId="41" fillId="0" borderId="0" xfId="4" applyFont="1"/>
    <xf numFmtId="49" fontId="2" fillId="0" borderId="0" xfId="4" applyNumberFormat="1" applyAlignment="1">
      <alignment horizontal="left"/>
    </xf>
    <xf numFmtId="40" fontId="2" fillId="0" borderId="0" xfId="4" quotePrefix="1" applyNumberFormat="1"/>
    <xf numFmtId="0" fontId="4" fillId="0" borderId="0" xfId="4" applyFont="1"/>
    <xf numFmtId="49" fontId="4" fillId="0" borderId="0" xfId="4" applyNumberFormat="1" applyFont="1"/>
    <xf numFmtId="164" fontId="4" fillId="0" borderId="0" xfId="4" applyNumberFormat="1" applyFont="1"/>
    <xf numFmtId="0" fontId="4" fillId="0" borderId="1" xfId="4" applyFont="1" applyBorder="1"/>
    <xf numFmtId="40" fontId="4" fillId="0" borderId="1" xfId="4" applyNumberFormat="1" applyFont="1" applyBorder="1"/>
    <xf numFmtId="0" fontId="42" fillId="0" borderId="0" xfId="0" applyFont="1"/>
    <xf numFmtId="1" fontId="2" fillId="0" borderId="0" xfId="4" applyNumberFormat="1" applyAlignment="1">
      <alignment horizontal="center"/>
    </xf>
    <xf numFmtId="44" fontId="4" fillId="0" borderId="0" xfId="2" applyFont="1" applyBorder="1"/>
    <xf numFmtId="4" fontId="30" fillId="0" borderId="0" xfId="6" applyNumberFormat="1" applyFont="1"/>
    <xf numFmtId="40" fontId="36" fillId="0" borderId="0" xfId="4" applyNumberFormat="1" applyFont="1"/>
    <xf numFmtId="0" fontId="36" fillId="0" borderId="0" xfId="4" applyFont="1"/>
    <xf numFmtId="0" fontId="30" fillId="0" borderId="0" xfId="6" applyFont="1"/>
    <xf numFmtId="1" fontId="36" fillId="0" borderId="0" xfId="4" applyNumberFormat="1" applyFont="1" applyAlignment="1">
      <alignment horizontal="left"/>
    </xf>
    <xf numFmtId="4" fontId="36" fillId="0" borderId="0" xfId="6" applyNumberFormat="1" applyFont="1"/>
    <xf numFmtId="49" fontId="36" fillId="0" borderId="0" xfId="4" applyNumberFormat="1" applyFont="1" applyAlignment="1">
      <alignment horizontal="left"/>
    </xf>
    <xf numFmtId="164" fontId="43" fillId="0" borderId="0" xfId="0" applyNumberFormat="1" applyFont="1"/>
    <xf numFmtId="0" fontId="43" fillId="0" borderId="0" xfId="4" applyFont="1"/>
    <xf numFmtId="0" fontId="36" fillId="0" borderId="0" xfId="4" applyFont="1" applyAlignment="1">
      <alignment horizontal="right"/>
    </xf>
    <xf numFmtId="40" fontId="44" fillId="0" borderId="0" xfId="4" applyNumberFormat="1" applyFont="1"/>
    <xf numFmtId="164" fontId="36" fillId="0" borderId="0" xfId="4" applyNumberFormat="1" applyFont="1" applyAlignment="1">
      <alignment horizontal="left"/>
    </xf>
    <xf numFmtId="49" fontId="36" fillId="0" borderId="2" xfId="4" applyNumberFormat="1" applyFont="1" applyBorder="1" applyAlignment="1">
      <alignment horizontal="center" wrapText="1"/>
    </xf>
    <xf numFmtId="164" fontId="36" fillId="0" borderId="2" xfId="4" applyNumberFormat="1" applyFont="1" applyBorder="1" applyAlignment="1">
      <alignment horizontal="center"/>
    </xf>
    <xf numFmtId="0" fontId="36" fillId="0" borderId="2" xfId="4" applyFont="1" applyBorder="1" applyAlignment="1">
      <alignment horizontal="center"/>
    </xf>
    <xf numFmtId="40" fontId="36" fillId="0" borderId="2" xfId="4" applyNumberFormat="1" applyFont="1" applyBorder="1" applyAlignment="1">
      <alignment horizontal="center" wrapText="1"/>
    </xf>
    <xf numFmtId="49" fontId="30" fillId="0" borderId="0" xfId="4" applyNumberFormat="1" applyFont="1"/>
    <xf numFmtId="164" fontId="30" fillId="0" borderId="0" xfId="4" applyNumberFormat="1" applyFont="1" applyAlignment="1">
      <alignment horizontal="center"/>
    </xf>
    <xf numFmtId="164" fontId="30" fillId="0" borderId="0" xfId="4" applyNumberFormat="1" applyFont="1" applyAlignment="1">
      <alignment horizontal="left"/>
    </xf>
    <xf numFmtId="4" fontId="28" fillId="0" borderId="0" xfId="4" applyNumberFormat="1" applyFont="1" applyAlignment="1">
      <alignment horizontal="center"/>
    </xf>
    <xf numFmtId="4" fontId="30" fillId="0" borderId="0" xfId="4" applyNumberFormat="1" applyFont="1" applyAlignment="1">
      <alignment horizontal="center"/>
    </xf>
    <xf numFmtId="4" fontId="30" fillId="0" borderId="0" xfId="4" applyNumberFormat="1" applyFont="1"/>
    <xf numFmtId="164" fontId="30" fillId="0" borderId="0" xfId="0" applyNumberFormat="1" applyFont="1" applyAlignment="1">
      <alignment horizontal="center"/>
    </xf>
    <xf numFmtId="40" fontId="28" fillId="0" borderId="0" xfId="4" applyNumberFormat="1" applyFont="1" applyAlignment="1">
      <alignment horizontal="center"/>
    </xf>
    <xf numFmtId="4" fontId="28" fillId="0" borderId="0" xfId="4" applyNumberFormat="1" applyFont="1"/>
    <xf numFmtId="0" fontId="30" fillId="0" borderId="0" xfId="4" applyFont="1" applyAlignment="1">
      <alignment horizontal="left"/>
    </xf>
    <xf numFmtId="164" fontId="30" fillId="0" borderId="0" xfId="4" applyNumberFormat="1" applyFont="1"/>
    <xf numFmtId="164" fontId="28" fillId="0" borderId="0" xfId="4" applyNumberFormat="1" applyFont="1" applyAlignment="1">
      <alignment horizontal="left"/>
    </xf>
    <xf numFmtId="164" fontId="28" fillId="0" borderId="1" xfId="4" applyNumberFormat="1" applyFont="1" applyBorder="1"/>
    <xf numFmtId="44" fontId="28" fillId="0" borderId="1" xfId="2" applyFont="1" applyBorder="1"/>
    <xf numFmtId="4" fontId="28" fillId="0" borderId="1" xfId="4" applyNumberFormat="1" applyFont="1" applyBorder="1"/>
    <xf numFmtId="44" fontId="28" fillId="0" borderId="0" xfId="2" applyFont="1" applyBorder="1"/>
    <xf numFmtId="40" fontId="30" fillId="0" borderId="0" xfId="4" applyNumberFormat="1" applyFont="1"/>
    <xf numFmtId="0" fontId="28" fillId="0" borderId="0" xfId="6" applyFont="1"/>
    <xf numFmtId="44" fontId="38" fillId="0" borderId="0" xfId="2" applyFont="1"/>
    <xf numFmtId="0" fontId="6" fillId="0" borderId="2" xfId="4" applyFont="1" applyBorder="1"/>
    <xf numFmtId="4" fontId="2" fillId="0" borderId="0" xfId="1" applyNumberFormat="1" applyFont="1" applyAlignment="1">
      <alignment horizontal="center"/>
    </xf>
    <xf numFmtId="4" fontId="24" fillId="0" borderId="0" xfId="2" applyNumberFormat="1" applyFont="1" applyAlignment="1">
      <alignment horizontal="right"/>
    </xf>
    <xf numFmtId="4" fontId="38" fillId="0" borderId="0" xfId="2" applyNumberFormat="1" applyFont="1" applyAlignment="1">
      <alignment horizontal="right"/>
    </xf>
    <xf numFmtId="40" fontId="4" fillId="0" borderId="0" xfId="4" applyNumberFormat="1" applyFont="1"/>
    <xf numFmtId="40" fontId="2" fillId="0" borderId="0" xfId="4" applyNumberFormat="1" applyAlignment="1">
      <alignment horizontal="left"/>
    </xf>
    <xf numFmtId="165" fontId="32" fillId="0" borderId="0" xfId="0" applyNumberFormat="1" applyFont="1" applyAlignment="1">
      <alignment horizontal="center"/>
    </xf>
    <xf numFmtId="0" fontId="32" fillId="0" borderId="0" xfId="0" applyFont="1" applyAlignment="1">
      <alignment horizontal="center"/>
    </xf>
    <xf numFmtId="0" fontId="2" fillId="0" borderId="0" xfId="0" applyFont="1"/>
    <xf numFmtId="4" fontId="24" fillId="0" borderId="0" xfId="2" applyNumberFormat="1" applyFont="1"/>
    <xf numFmtId="14" fontId="2" fillId="0" borderId="0" xfId="4" applyNumberFormat="1" applyAlignment="1">
      <alignment horizontal="center"/>
    </xf>
    <xf numFmtId="1" fontId="2" fillId="0" borderId="0" xfId="4" applyNumberFormat="1" applyAlignment="1">
      <alignment horizontal="left"/>
    </xf>
    <xf numFmtId="40" fontId="2" fillId="0" borderId="0" xfId="4" quotePrefix="1" applyNumberFormat="1" applyAlignment="1">
      <alignment horizontal="left"/>
    </xf>
    <xf numFmtId="14" fontId="2" fillId="0" borderId="0" xfId="4" applyNumberFormat="1"/>
    <xf numFmtId="14" fontId="4" fillId="0" borderId="0" xfId="4" applyNumberFormat="1" applyFont="1"/>
    <xf numFmtId="1" fontId="4" fillId="0" borderId="0" xfId="4" applyNumberFormat="1" applyFont="1"/>
    <xf numFmtId="165" fontId="2" fillId="0" borderId="0" xfId="0" applyNumberFormat="1" applyFont="1" applyAlignment="1">
      <alignment horizontal="center" vertical="center"/>
    </xf>
    <xf numFmtId="0" fontId="32" fillId="0" borderId="0" xfId="0" applyFont="1" applyAlignment="1">
      <alignment vertical="center"/>
    </xf>
    <xf numFmtId="44" fontId="2" fillId="0" borderId="0" xfId="2" applyFont="1" applyAlignment="1">
      <alignment horizontal="right" vertical="center"/>
    </xf>
    <xf numFmtId="0" fontId="2" fillId="0" borderId="0" xfId="0" applyFont="1" applyAlignment="1">
      <alignment horizontal="center" vertical="center" wrapText="1"/>
    </xf>
    <xf numFmtId="165" fontId="2" fillId="0" borderId="0" xfId="2" applyNumberFormat="1" applyFont="1" applyAlignment="1">
      <alignment horizontal="center" vertical="center"/>
    </xf>
    <xf numFmtId="44" fontId="38" fillId="0" borderId="0" xfId="2" applyFont="1" applyAlignment="1">
      <alignment vertical="center"/>
    </xf>
    <xf numFmtId="0" fontId="2" fillId="0" borderId="0" xfId="0" applyFont="1" applyAlignment="1">
      <alignment horizontal="center" vertical="center"/>
    </xf>
    <xf numFmtId="164" fontId="0" fillId="0" borderId="0" xfId="0" applyNumberFormat="1" applyAlignment="1">
      <alignment horizontal="center" vertical="center"/>
    </xf>
    <xf numFmtId="39" fontId="2" fillId="0" borderId="0" xfId="2" applyNumberFormat="1" applyFont="1" applyAlignment="1">
      <alignment vertical="center"/>
    </xf>
    <xf numFmtId="4" fontId="2" fillId="0" borderId="0" xfId="0" applyNumberFormat="1" applyFont="1" applyAlignment="1">
      <alignment horizontal="right"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3" fillId="0" borderId="0" xfId="2" applyNumberFormat="1" applyFont="1"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4" fontId="3" fillId="0" borderId="0" xfId="2" applyNumberFormat="1" applyFont="1" applyAlignment="1">
      <alignment vertical="center"/>
    </xf>
    <xf numFmtId="4" fontId="2" fillId="0" borderId="0" xfId="2" applyNumberFormat="1" applyFont="1" applyAlignment="1">
      <alignment vertical="center"/>
    </xf>
    <xf numFmtId="0" fontId="1" fillId="0" borderId="0" xfId="6" applyAlignment="1">
      <alignment vertical="center"/>
    </xf>
    <xf numFmtId="164" fontId="36" fillId="0" borderId="0" xfId="6" applyNumberFormat="1" applyFont="1"/>
    <xf numFmtId="0" fontId="36" fillId="0" borderId="0" xfId="6" applyFont="1" applyAlignment="1">
      <alignment wrapText="1"/>
    </xf>
    <xf numFmtId="4" fontId="28" fillId="0" borderId="0" xfId="6" applyNumberFormat="1" applyFont="1"/>
    <xf numFmtId="0" fontId="28" fillId="0" borderId="2" xfId="6" applyFont="1" applyBorder="1"/>
    <xf numFmtId="0" fontId="28" fillId="0" borderId="2" xfId="6" applyFont="1" applyBorder="1" applyAlignment="1">
      <alignment horizontal="center" wrapText="1"/>
    </xf>
    <xf numFmtId="40" fontId="28" fillId="0" borderId="2" xfId="6" applyNumberFormat="1" applyFont="1" applyBorder="1"/>
    <xf numFmtId="40" fontId="28" fillId="0" borderId="2" xfId="6" applyNumberFormat="1" applyFont="1" applyBorder="1" applyAlignment="1">
      <alignment horizontal="center"/>
    </xf>
    <xf numFmtId="40" fontId="28" fillId="0" borderId="2" xfId="6" applyNumberFormat="1" applyFont="1" applyBorder="1" applyAlignment="1">
      <alignment horizontal="center" wrapText="1"/>
    </xf>
    <xf numFmtId="4" fontId="28" fillId="0" borderId="0" xfId="6" applyNumberFormat="1" applyFont="1" applyAlignment="1">
      <alignment horizontal="center"/>
    </xf>
    <xf numFmtId="40" fontId="30" fillId="0" borderId="0" xfId="6" applyNumberFormat="1" applyFont="1" applyAlignment="1">
      <alignment horizontal="center"/>
    </xf>
    <xf numFmtId="40" fontId="30" fillId="0" borderId="0" xfId="6" applyNumberFormat="1" applyFont="1"/>
    <xf numFmtId="0" fontId="30" fillId="0" borderId="0" xfId="6" applyFont="1" applyAlignment="1">
      <alignment horizontal="center"/>
    </xf>
    <xf numFmtId="4" fontId="30" fillId="0" borderId="0" xfId="6" applyNumberFormat="1" applyFont="1" applyAlignment="1">
      <alignment horizontal="center"/>
    </xf>
    <xf numFmtId="40" fontId="30" fillId="0" borderId="0" xfId="4" applyNumberFormat="1" applyFont="1" applyAlignment="1">
      <alignment horizontal="center"/>
    </xf>
    <xf numFmtId="0" fontId="43" fillId="0" borderId="0" xfId="6" applyFont="1"/>
    <xf numFmtId="0" fontId="43" fillId="0" borderId="1" xfId="6" applyFont="1" applyBorder="1" applyAlignment="1">
      <alignment horizontal="left"/>
    </xf>
    <xf numFmtId="40" fontId="43" fillId="0" borderId="1" xfId="6" applyNumberFormat="1" applyFont="1" applyBorder="1"/>
    <xf numFmtId="0" fontId="45" fillId="0" borderId="0" xfId="6" applyFont="1"/>
    <xf numFmtId="0" fontId="43" fillId="0" borderId="0" xfId="0" applyFont="1"/>
    <xf numFmtId="0" fontId="46" fillId="0" borderId="0" xfId="0" applyFont="1"/>
    <xf numFmtId="40" fontId="30" fillId="0" borderId="0" xfId="5" applyNumberFormat="1" applyFont="1" applyAlignment="1">
      <alignment horizontal="right"/>
    </xf>
    <xf numFmtId="40" fontId="30" fillId="0" borderId="0" xfId="5" applyNumberFormat="1" applyFont="1"/>
    <xf numFmtId="0" fontId="43" fillId="0" borderId="0" xfId="5" applyFont="1"/>
    <xf numFmtId="40" fontId="28" fillId="0" borderId="0" xfId="0" applyNumberFormat="1" applyFont="1"/>
    <xf numFmtId="0" fontId="30" fillId="0" borderId="0" xfId="5" applyFont="1"/>
    <xf numFmtId="1" fontId="43" fillId="0" borderId="0" xfId="5" applyNumberFormat="1" applyFont="1"/>
    <xf numFmtId="40" fontId="43" fillId="0" borderId="0" xfId="5" applyNumberFormat="1" applyFont="1"/>
    <xf numFmtId="40" fontId="30" fillId="0" borderId="0" xfId="1" applyNumberFormat="1" applyFont="1" applyAlignment="1">
      <alignment horizontal="center"/>
    </xf>
    <xf numFmtId="49" fontId="47" fillId="0" borderId="0" xfId="0" applyNumberFormat="1" applyFont="1" applyAlignment="1">
      <alignment horizontal="center"/>
    </xf>
    <xf numFmtId="4" fontId="47" fillId="0" borderId="0" xfId="2" applyNumberFormat="1" applyFont="1"/>
    <xf numFmtId="0" fontId="47" fillId="0" borderId="0" xfId="0" applyFont="1" applyAlignment="1">
      <alignment horizontal="center"/>
    </xf>
    <xf numFmtId="164" fontId="28" fillId="0" borderId="0" xfId="0" applyNumberFormat="1" applyFont="1"/>
    <xf numFmtId="44" fontId="47" fillId="0" borderId="0" xfId="2" applyFont="1"/>
    <xf numFmtId="0" fontId="47" fillId="0" borderId="0" xfId="0" applyFont="1"/>
    <xf numFmtId="49" fontId="48" fillId="0" borderId="0" xfId="0" applyNumberFormat="1" applyFont="1" applyAlignment="1">
      <alignment horizontal="center"/>
    </xf>
    <xf numFmtId="44" fontId="48" fillId="0" borderId="0" xfId="2" applyFont="1"/>
    <xf numFmtId="0" fontId="48" fillId="0" borderId="0" xfId="0" applyFont="1" applyAlignment="1">
      <alignment horizontal="center"/>
    </xf>
    <xf numFmtId="0" fontId="28" fillId="0" borderId="2" xfId="0" applyFont="1" applyBorder="1" applyAlignment="1">
      <alignment horizontal="center"/>
    </xf>
    <xf numFmtId="49" fontId="28" fillId="0" borderId="2" xfId="0" applyNumberFormat="1" applyFont="1" applyBorder="1" applyAlignment="1">
      <alignment horizontal="center" wrapText="1"/>
    </xf>
    <xf numFmtId="44" fontId="28" fillId="0" borderId="2" xfId="2" applyFont="1" applyBorder="1" applyAlignment="1">
      <alignment horizontal="center"/>
    </xf>
    <xf numFmtId="0" fontId="28" fillId="0" borderId="2" xfId="0" applyFont="1" applyBorder="1" applyAlignment="1">
      <alignment horizontal="center" wrapText="1"/>
    </xf>
    <xf numFmtId="44" fontId="28" fillId="0" borderId="2" xfId="2" applyFont="1" applyBorder="1" applyAlignment="1">
      <alignment horizontal="center" wrapText="1"/>
    </xf>
    <xf numFmtId="165" fontId="30" fillId="0" borderId="0" xfId="0" applyNumberFormat="1" applyFont="1" applyAlignment="1">
      <alignment horizontal="center"/>
    </xf>
    <xf numFmtId="0" fontId="30" fillId="0" borderId="0" xfId="0" applyFont="1"/>
    <xf numFmtId="44" fontId="30" fillId="0" borderId="0" xfId="2" applyFont="1" applyAlignment="1">
      <alignment horizontal="right"/>
    </xf>
    <xf numFmtId="0" fontId="30" fillId="0" borderId="0" xfId="0" applyFont="1" applyAlignment="1">
      <alignment horizontal="center" wrapText="1"/>
    </xf>
    <xf numFmtId="165" fontId="30" fillId="0" borderId="0" xfId="2" applyNumberFormat="1" applyFont="1" applyAlignment="1">
      <alignment horizontal="center"/>
    </xf>
    <xf numFmtId="4" fontId="28" fillId="0" borderId="0" xfId="2" applyNumberFormat="1" applyFont="1"/>
    <xf numFmtId="4" fontId="28" fillId="0" borderId="0" xfId="2" applyNumberFormat="1" applyFont="1" applyAlignment="1">
      <alignment horizontal="right"/>
    </xf>
    <xf numFmtId="0" fontId="30" fillId="0" borderId="0" xfId="0" applyFont="1" applyAlignment="1">
      <alignment horizontal="center"/>
    </xf>
    <xf numFmtId="4" fontId="30" fillId="0" borderId="0" xfId="1" applyNumberFormat="1" applyFont="1" applyAlignment="1">
      <alignment horizontal="center"/>
    </xf>
    <xf numFmtId="164" fontId="47" fillId="0" borderId="0" xfId="0" applyNumberFormat="1" applyFont="1" applyAlignment="1">
      <alignment horizontal="center"/>
    </xf>
    <xf numFmtId="39" fontId="30" fillId="0" borderId="0" xfId="2" applyNumberFormat="1" applyFont="1" applyAlignment="1"/>
    <xf numFmtId="4" fontId="28" fillId="0" borderId="0" xfId="0" applyNumberFormat="1" applyFont="1"/>
    <xf numFmtId="4" fontId="30" fillId="0" borderId="0" xfId="0" applyNumberFormat="1" applyFont="1" applyAlignment="1">
      <alignment horizontal="right"/>
    </xf>
    <xf numFmtId="49" fontId="30" fillId="0" borderId="0" xfId="0" applyNumberFormat="1" applyFont="1" applyAlignment="1">
      <alignment horizontal="center"/>
    </xf>
    <xf numFmtId="4" fontId="28" fillId="0" borderId="0" xfId="0" applyNumberFormat="1" applyFont="1" applyAlignment="1">
      <alignment horizontal="right"/>
    </xf>
    <xf numFmtId="165" fontId="47" fillId="0" borderId="0" xfId="0" applyNumberFormat="1" applyFont="1" applyAlignment="1">
      <alignment horizontal="center"/>
    </xf>
    <xf numFmtId="4" fontId="30" fillId="0" borderId="0" xfId="2" applyNumberFormat="1" applyFont="1"/>
    <xf numFmtId="0" fontId="47" fillId="0" borderId="1" xfId="0" applyFont="1" applyBorder="1" applyAlignment="1">
      <alignment horizontal="center"/>
    </xf>
    <xf numFmtId="49" fontId="28" fillId="0" borderId="1" xfId="0" applyNumberFormat="1" applyFont="1" applyBorder="1" applyAlignment="1">
      <alignment horizontal="center"/>
    </xf>
    <xf numFmtId="4" fontId="28" fillId="0" borderId="1" xfId="2" applyNumberFormat="1" applyFont="1" applyBorder="1"/>
    <xf numFmtId="0" fontId="28" fillId="0" borderId="1" xfId="0" applyFont="1" applyBorder="1" applyAlignment="1">
      <alignment horizontal="center"/>
    </xf>
    <xf numFmtId="49" fontId="47" fillId="0" borderId="1" xfId="0" applyNumberFormat="1" applyFont="1" applyBorder="1" applyAlignment="1">
      <alignment horizontal="center"/>
    </xf>
    <xf numFmtId="164" fontId="47" fillId="0" borderId="1" xfId="0" applyNumberFormat="1" applyFont="1" applyBorder="1" applyAlignment="1">
      <alignment horizontal="center"/>
    </xf>
    <xf numFmtId="49" fontId="36" fillId="0" borderId="0" xfId="4" applyNumberFormat="1" applyFont="1"/>
    <xf numFmtId="164" fontId="36" fillId="0" borderId="2" xfId="4" applyNumberFormat="1" applyFont="1" applyBorder="1" applyAlignment="1">
      <alignment horizontal="center" wrapText="1"/>
    </xf>
    <xf numFmtId="14" fontId="30" fillId="0" borderId="0" xfId="4" applyNumberFormat="1" applyFont="1" applyAlignment="1">
      <alignment horizontal="center"/>
    </xf>
    <xf numFmtId="1" fontId="30" fillId="0" borderId="0" xfId="4" applyNumberFormat="1" applyFont="1" applyAlignment="1">
      <alignment horizontal="left"/>
    </xf>
    <xf numFmtId="40" fontId="30" fillId="0" borderId="0" xfId="4" quotePrefix="1" applyNumberFormat="1" applyFont="1" applyAlignment="1">
      <alignment horizontal="left"/>
    </xf>
    <xf numFmtId="40" fontId="30" fillId="0" borderId="0" xfId="4" applyNumberFormat="1" applyFont="1" applyAlignment="1">
      <alignment horizontal="left"/>
    </xf>
    <xf numFmtId="14" fontId="30" fillId="0" borderId="0" xfId="4" applyNumberFormat="1" applyFont="1"/>
    <xf numFmtId="49" fontId="28" fillId="0" borderId="0" xfId="4" applyNumberFormat="1" applyFont="1"/>
    <xf numFmtId="14" fontId="28" fillId="0" borderId="0" xfId="4" applyNumberFormat="1" applyFont="1"/>
    <xf numFmtId="1" fontId="28" fillId="0" borderId="0" xfId="4" applyNumberFormat="1" applyFont="1"/>
    <xf numFmtId="164" fontId="28" fillId="0" borderId="0" xfId="4" applyNumberFormat="1" applyFont="1"/>
    <xf numFmtId="0" fontId="28" fillId="0" borderId="1" xfId="4" applyFont="1" applyBorder="1"/>
    <xf numFmtId="40" fontId="28" fillId="0" borderId="1" xfId="4" applyNumberFormat="1" applyFont="1" applyBorder="1"/>
    <xf numFmtId="0" fontId="36" fillId="0" borderId="2" xfId="4" applyFont="1" applyBorder="1" applyAlignment="1">
      <alignment horizontal="center" wrapText="1"/>
    </xf>
    <xf numFmtId="49" fontId="30" fillId="0" borderId="0" xfId="4" applyNumberFormat="1" applyFont="1" applyAlignment="1">
      <alignment horizontal="center"/>
    </xf>
    <xf numFmtId="40" fontId="4" fillId="0" borderId="0" xfId="1" applyNumberFormat="1" applyFont="1" applyAlignment="1">
      <alignment horizontal="center"/>
    </xf>
    <xf numFmtId="0" fontId="0" fillId="0" borderId="0" xfId="0" applyAlignment="1">
      <alignment vertical="center"/>
    </xf>
    <xf numFmtId="4" fontId="24" fillId="0" borderId="0" xfId="0" applyNumberFormat="1" applyFont="1" applyAlignment="1">
      <alignment vertical="center"/>
    </xf>
    <xf numFmtId="4" fontId="24" fillId="0" borderId="0" xfId="2" applyNumberFormat="1" applyFont="1" applyAlignment="1">
      <alignment horizontal="right" vertical="center"/>
    </xf>
    <xf numFmtId="4" fontId="38" fillId="0" borderId="0" xfId="0" applyNumberFormat="1" applyFont="1" applyAlignment="1">
      <alignment horizontal="right" vertical="center"/>
    </xf>
    <xf numFmtId="4" fontId="38" fillId="0" borderId="0" xfId="2" applyNumberFormat="1" applyFont="1" applyAlignment="1">
      <alignment horizontal="right" vertical="center"/>
    </xf>
    <xf numFmtId="0" fontId="36" fillId="0" borderId="2" xfId="4" applyFont="1" applyBorder="1"/>
    <xf numFmtId="49" fontId="30" fillId="0" borderId="0" xfId="4" applyNumberFormat="1" applyFont="1" applyAlignment="1">
      <alignment horizontal="left"/>
    </xf>
    <xf numFmtId="40" fontId="30" fillId="0" borderId="0" xfId="4" quotePrefix="1" applyNumberFormat="1" applyFont="1"/>
    <xf numFmtId="1" fontId="30" fillId="0" borderId="0" xfId="4" applyNumberFormat="1" applyFont="1" applyAlignment="1">
      <alignment horizontal="center"/>
    </xf>
    <xf numFmtId="43" fontId="28" fillId="0" borderId="0" xfId="1" applyFont="1" applyAlignment="1">
      <alignment horizontal="center"/>
    </xf>
    <xf numFmtId="44" fontId="28" fillId="0" borderId="0" xfId="2" applyFont="1"/>
    <xf numFmtId="39" fontId="28" fillId="0" borderId="0" xfId="2" applyNumberFormat="1" applyFont="1" applyAlignment="1">
      <alignment horizontal="right"/>
    </xf>
    <xf numFmtId="4" fontId="38" fillId="0" borderId="0" xfId="2" applyNumberFormat="1" applyFont="1" applyAlignment="1">
      <alignment vertical="center"/>
    </xf>
    <xf numFmtId="40" fontId="4" fillId="0" borderId="0" xfId="1" applyNumberFormat="1" applyFont="1" applyAlignment="1">
      <alignment horizontal="right" vertical="center"/>
    </xf>
    <xf numFmtId="43" fontId="38" fillId="0" borderId="0" xfId="2" applyNumberFormat="1" applyFont="1" applyAlignment="1">
      <alignment vertical="center"/>
    </xf>
    <xf numFmtId="40" fontId="4" fillId="0" borderId="0" xfId="4" applyNumberFormat="1" applyFont="1" applyAlignment="1">
      <alignment horizontal="center"/>
    </xf>
    <xf numFmtId="0" fontId="2" fillId="0" borderId="0" xfId="4" applyAlignment="1">
      <alignment horizontal="center"/>
    </xf>
    <xf numFmtId="40" fontId="4" fillId="0" borderId="9" xfId="0" applyNumberFormat="1" applyFont="1" applyBorder="1"/>
    <xf numFmtId="40" fontId="2" fillId="0" borderId="8" xfId="5" applyNumberFormat="1" applyFont="1" applyBorder="1" applyAlignment="1">
      <alignment horizontal="center"/>
    </xf>
    <xf numFmtId="0" fontId="2" fillId="0" borderId="10" xfId="5" applyFont="1" applyBorder="1" applyAlignment="1">
      <alignment horizontal="center"/>
    </xf>
    <xf numFmtId="2" fontId="2" fillId="0" borderId="0" xfId="4" applyNumberFormat="1"/>
    <xf numFmtId="165" fontId="30" fillId="0" borderId="0" xfId="0" applyNumberFormat="1" applyFont="1" applyAlignment="1">
      <alignment horizontal="center" vertical="center"/>
    </xf>
    <xf numFmtId="0" fontId="30" fillId="0" borderId="0" xfId="0" applyFont="1" applyAlignment="1">
      <alignment vertical="center"/>
    </xf>
    <xf numFmtId="44" fontId="30" fillId="0" borderId="0" xfId="2" applyFont="1" applyAlignment="1">
      <alignment horizontal="right" vertical="center"/>
    </xf>
    <xf numFmtId="0" fontId="30" fillId="0" borderId="0" xfId="0" applyFont="1" applyAlignment="1">
      <alignment horizontal="center" vertical="center" wrapText="1"/>
    </xf>
    <xf numFmtId="165" fontId="30" fillId="0" borderId="0" xfId="2" applyNumberFormat="1" applyFont="1" applyAlignment="1">
      <alignment horizontal="center" vertical="center"/>
    </xf>
    <xf numFmtId="44" fontId="28" fillId="0" borderId="0" xfId="2" applyFont="1" applyAlignment="1">
      <alignment vertical="center"/>
    </xf>
    <xf numFmtId="0" fontId="30" fillId="0" borderId="0" xfId="0" applyFont="1" applyAlignment="1">
      <alignment horizontal="center" vertical="center"/>
    </xf>
    <xf numFmtId="40" fontId="28" fillId="0" borderId="0" xfId="1" applyNumberFormat="1" applyFont="1" applyAlignment="1">
      <alignment horizontal="center" vertical="center"/>
    </xf>
    <xf numFmtId="164" fontId="47" fillId="0" borderId="0" xfId="0" applyNumberFormat="1" applyFont="1" applyAlignment="1">
      <alignment horizontal="center" vertical="center"/>
    </xf>
    <xf numFmtId="39" fontId="30" fillId="0" borderId="0" xfId="2" applyNumberFormat="1" applyFont="1" applyAlignment="1">
      <alignment vertical="center"/>
    </xf>
    <xf numFmtId="0" fontId="47" fillId="0" borderId="0" xfId="0" applyFont="1" applyAlignment="1">
      <alignment vertical="center"/>
    </xf>
    <xf numFmtId="4" fontId="28" fillId="0" borderId="0" xfId="0" applyNumberFormat="1" applyFont="1" applyAlignment="1">
      <alignment vertical="center"/>
    </xf>
    <xf numFmtId="4" fontId="28" fillId="0" borderId="0" xfId="2" applyNumberFormat="1" applyFont="1" applyAlignment="1">
      <alignment horizontal="right" vertical="center"/>
    </xf>
    <xf numFmtId="4" fontId="30" fillId="0" borderId="0" xfId="0" applyNumberFormat="1" applyFont="1" applyAlignment="1">
      <alignment horizontal="right" vertical="center"/>
    </xf>
    <xf numFmtId="164" fontId="30" fillId="0" borderId="0" xfId="0" applyNumberFormat="1" applyFont="1" applyAlignment="1">
      <alignment horizontal="center" vertical="center"/>
    </xf>
    <xf numFmtId="49" fontId="30" fillId="0" borderId="0" xfId="0" applyNumberFormat="1" applyFont="1" applyAlignment="1">
      <alignment horizontal="center" vertical="center"/>
    </xf>
    <xf numFmtId="4" fontId="28" fillId="0" borderId="0" xfId="0" applyNumberFormat="1" applyFont="1" applyAlignment="1">
      <alignment horizontal="right" vertical="center"/>
    </xf>
    <xf numFmtId="49" fontId="47" fillId="0" borderId="0" xfId="0" applyNumberFormat="1" applyFont="1" applyAlignment="1">
      <alignment horizontal="center" vertical="center"/>
    </xf>
    <xf numFmtId="4" fontId="47" fillId="0" borderId="0" xfId="2" applyNumberFormat="1" applyFont="1" applyAlignment="1">
      <alignment vertical="center"/>
    </xf>
    <xf numFmtId="0" fontId="47" fillId="0" borderId="0" xfId="0" applyFont="1" applyAlignment="1">
      <alignment horizontal="center" vertical="center"/>
    </xf>
    <xf numFmtId="165" fontId="47" fillId="0" borderId="0" xfId="0" applyNumberFormat="1" applyFont="1" applyAlignment="1">
      <alignment horizontal="center" vertical="center"/>
    </xf>
    <xf numFmtId="4" fontId="28" fillId="0" borderId="0" xfId="2" applyNumberFormat="1" applyFont="1" applyAlignment="1">
      <alignment vertical="center"/>
    </xf>
    <xf numFmtId="4" fontId="30" fillId="0" borderId="0" xfId="2" applyNumberFormat="1" applyFont="1" applyAlignment="1">
      <alignment vertical="center"/>
    </xf>
    <xf numFmtId="0" fontId="45" fillId="0" borderId="0" xfId="6" applyFont="1" applyAlignment="1">
      <alignment vertical="center"/>
    </xf>
    <xf numFmtId="166" fontId="30" fillId="0" borderId="0" xfId="4" applyNumberFormat="1" applyFont="1" applyAlignment="1">
      <alignment horizontal="center"/>
    </xf>
    <xf numFmtId="0" fontId="30" fillId="0" borderId="0" xfId="4" applyFont="1" applyAlignment="1">
      <alignment horizontal="center"/>
    </xf>
    <xf numFmtId="40" fontId="22" fillId="0" borderId="0" xfId="4" applyNumberFormat="1" applyFont="1"/>
    <xf numFmtId="164" fontId="2" fillId="0" borderId="0" xfId="4" applyNumberFormat="1" applyAlignment="1">
      <alignment wrapText="1"/>
    </xf>
    <xf numFmtId="2" fontId="43" fillId="0" borderId="1" xfId="6" applyNumberFormat="1" applyFont="1" applyBorder="1"/>
    <xf numFmtId="40" fontId="28" fillId="0" borderId="0" xfId="1" applyNumberFormat="1" applyFont="1" applyAlignment="1">
      <alignment horizontal="center"/>
    </xf>
    <xf numFmtId="40" fontId="2" fillId="0" borderId="0" xfId="4" applyNumberFormat="1" applyAlignment="1">
      <alignment horizontal="left" vertical="center"/>
    </xf>
    <xf numFmtId="43" fontId="28" fillId="0" borderId="0" xfId="0" applyNumberFormat="1" applyFont="1" applyAlignment="1">
      <alignment vertical="center"/>
    </xf>
    <xf numFmtId="40" fontId="28" fillId="0" borderId="0" xfId="0" applyNumberFormat="1" applyFont="1" applyAlignment="1">
      <alignment vertical="center"/>
    </xf>
    <xf numFmtId="40" fontId="28" fillId="0" borderId="0" xfId="2" applyNumberFormat="1" applyFont="1" applyAlignment="1">
      <alignment vertical="center"/>
    </xf>
    <xf numFmtId="40" fontId="4" fillId="0" borderId="0" xfId="1" applyNumberFormat="1" applyFont="1" applyAlignment="1">
      <alignment horizontal="center" vertical="center"/>
    </xf>
    <xf numFmtId="40" fontId="24" fillId="0" borderId="0" xfId="0" applyNumberFormat="1" applyFont="1" applyAlignment="1">
      <alignment vertical="center"/>
    </xf>
    <xf numFmtId="49" fontId="2" fillId="0" borderId="3" xfId="4" applyNumberFormat="1" applyBorder="1"/>
    <xf numFmtId="164" fontId="2" fillId="0" borderId="3" xfId="4" applyNumberFormat="1" applyBorder="1" applyAlignment="1">
      <alignment horizontal="left"/>
    </xf>
    <xf numFmtId="4" fontId="2" fillId="0" borderId="3" xfId="4" applyNumberFormat="1" applyBorder="1" applyAlignment="1">
      <alignment horizontal="center"/>
    </xf>
    <xf numFmtId="4" fontId="2" fillId="0" borderId="3" xfId="4" applyNumberFormat="1" applyBorder="1"/>
    <xf numFmtId="0" fontId="19" fillId="0" borderId="3" xfId="4" applyFont="1" applyBorder="1" applyAlignment="1">
      <alignment horizontal="right"/>
    </xf>
    <xf numFmtId="164" fontId="2" fillId="0" borderId="3" xfId="0" applyNumberFormat="1" applyFont="1" applyBorder="1" applyAlignment="1">
      <alignment horizontal="center"/>
    </xf>
    <xf numFmtId="4" fontId="38" fillId="0" borderId="3" xfId="4" applyNumberFormat="1" applyFont="1" applyBorder="1"/>
    <xf numFmtId="4" fontId="38" fillId="0" borderId="0" xfId="2" applyNumberFormat="1" applyFont="1" applyAlignment="1">
      <alignment horizontal="center" vertical="center"/>
    </xf>
    <xf numFmtId="4" fontId="4" fillId="0" borderId="0" xfId="2" applyNumberFormat="1" applyFont="1"/>
    <xf numFmtId="4" fontId="49" fillId="0" borderId="0" xfId="2" applyNumberFormat="1" applyFont="1"/>
    <xf numFmtId="4" fontId="4" fillId="0" borderId="0" xfId="0" applyNumberFormat="1" applyFont="1" applyAlignment="1">
      <alignment vertical="center"/>
    </xf>
    <xf numFmtId="4" fontId="4" fillId="0" borderId="0" xfId="2" applyNumberFormat="1" applyFont="1" applyAlignment="1">
      <alignment horizontal="right" vertical="center"/>
    </xf>
    <xf numFmtId="4" fontId="4" fillId="0" borderId="0" xfId="0" applyNumberFormat="1" applyFont="1" applyAlignment="1">
      <alignment horizontal="right" vertical="center"/>
    </xf>
    <xf numFmtId="4" fontId="4" fillId="0" borderId="0" xfId="2" applyNumberFormat="1" applyFont="1" applyAlignment="1">
      <alignment vertical="center"/>
    </xf>
    <xf numFmtId="4" fontId="49" fillId="0" borderId="0" xfId="2" applyNumberFormat="1" applyFont="1" applyAlignment="1">
      <alignment vertical="center"/>
    </xf>
    <xf numFmtId="39" fontId="4" fillId="0" borderId="0" xfId="2" applyNumberFormat="1" applyFont="1" applyAlignment="1">
      <alignment horizontal="right" vertical="center"/>
    </xf>
    <xf numFmtId="0" fontId="2" fillId="0" borderId="0" xfId="0" applyFont="1" applyAlignment="1">
      <alignment horizontal="left" vertical="center" wrapText="1"/>
    </xf>
    <xf numFmtId="4" fontId="28" fillId="0" borderId="0" xfId="4" applyNumberFormat="1" applyFont="1" applyAlignment="1">
      <alignment horizontal="center" vertical="center"/>
    </xf>
    <xf numFmtId="44" fontId="28" fillId="0" borderId="1" xfId="2" applyFont="1" applyBorder="1" applyAlignment="1">
      <alignment vertical="center"/>
    </xf>
    <xf numFmtId="4" fontId="28" fillId="0" borderId="0" xfId="4" applyNumberFormat="1" applyFont="1" applyAlignment="1">
      <alignment vertical="center"/>
    </xf>
    <xf numFmtId="40" fontId="28" fillId="0" borderId="0" xfId="1" applyNumberFormat="1" applyFont="1" applyAlignment="1">
      <alignment horizontal="right" vertical="center"/>
    </xf>
    <xf numFmtId="49" fontId="2" fillId="0" borderId="0" xfId="4" applyNumberFormat="1" applyAlignment="1">
      <alignment vertical="center"/>
    </xf>
    <xf numFmtId="164" fontId="2" fillId="0" borderId="0" xfId="4" applyNumberFormat="1" applyAlignment="1">
      <alignment horizontal="center" vertical="center"/>
    </xf>
    <xf numFmtId="164" fontId="2" fillId="0" borderId="0" xfId="4" applyNumberFormat="1" applyAlignment="1">
      <alignment horizontal="left" vertical="center"/>
    </xf>
    <xf numFmtId="4" fontId="38" fillId="0" borderId="0" xfId="4" applyNumberFormat="1" applyFont="1" applyAlignment="1">
      <alignment horizontal="center" vertical="center"/>
    </xf>
    <xf numFmtId="4" fontId="2" fillId="0" borderId="0" xfId="4" applyNumberFormat="1" applyAlignment="1">
      <alignment horizontal="center" vertical="center"/>
    </xf>
    <xf numFmtId="4" fontId="2" fillId="0" borderId="0" xfId="4" applyNumberFormat="1" applyAlignment="1">
      <alignment vertical="center"/>
    </xf>
    <xf numFmtId="0" fontId="16" fillId="0" borderId="0" xfId="4" applyFont="1" applyAlignment="1">
      <alignment vertical="center"/>
    </xf>
    <xf numFmtId="49" fontId="2" fillId="0" borderId="3" xfId="4" applyNumberFormat="1" applyBorder="1" applyAlignment="1">
      <alignment vertical="center"/>
    </xf>
    <xf numFmtId="164" fontId="2" fillId="0" borderId="3" xfId="0" applyNumberFormat="1" applyFont="1" applyBorder="1" applyAlignment="1">
      <alignment horizontal="center" vertical="center"/>
    </xf>
    <xf numFmtId="164" fontId="2" fillId="0" borderId="3" xfId="4" applyNumberFormat="1" applyBorder="1" applyAlignment="1">
      <alignment horizontal="left" vertical="center"/>
    </xf>
    <xf numFmtId="4" fontId="2" fillId="0" borderId="3" xfId="4" applyNumberFormat="1" applyBorder="1" applyAlignment="1">
      <alignment horizontal="center" vertical="center"/>
    </xf>
    <xf numFmtId="4" fontId="38" fillId="0" borderId="3" xfId="4" applyNumberFormat="1" applyFont="1" applyBorder="1" applyAlignment="1">
      <alignment vertical="center"/>
    </xf>
    <xf numFmtId="4" fontId="2" fillId="0" borderId="3" xfId="4" applyNumberFormat="1" applyBorder="1" applyAlignment="1">
      <alignment vertical="center"/>
    </xf>
    <xf numFmtId="0" fontId="19" fillId="0" borderId="3" xfId="4" applyFont="1" applyBorder="1" applyAlignment="1">
      <alignment horizontal="right" vertical="center"/>
    </xf>
    <xf numFmtId="4" fontId="4" fillId="0" borderId="0" xfId="4" applyNumberFormat="1" applyFont="1" applyAlignment="1">
      <alignment vertical="center"/>
    </xf>
    <xf numFmtId="0" fontId="2" fillId="0" borderId="0" xfId="4" applyAlignment="1">
      <alignment horizontal="left" vertical="center"/>
    </xf>
    <xf numFmtId="164" fontId="4" fillId="0" borderId="0" xfId="4" applyNumberFormat="1" applyFont="1" applyAlignment="1">
      <alignment vertical="center"/>
    </xf>
    <xf numFmtId="164" fontId="2" fillId="0" borderId="0" xfId="4" applyNumberFormat="1" applyAlignment="1">
      <alignment vertical="center"/>
    </xf>
    <xf numFmtId="44" fontId="4" fillId="0" borderId="1" xfId="2" applyFont="1" applyBorder="1" applyAlignment="1">
      <alignment vertical="center"/>
    </xf>
    <xf numFmtId="44" fontId="4" fillId="0" borderId="0" xfId="2" applyFont="1" applyBorder="1" applyAlignment="1">
      <alignment vertical="center"/>
    </xf>
    <xf numFmtId="44" fontId="4" fillId="0" borderId="12" xfId="2" applyFont="1" applyBorder="1" applyAlignment="1">
      <alignment vertical="center"/>
    </xf>
    <xf numFmtId="2" fontId="2" fillId="0" borderId="0" xfId="2" applyNumberFormat="1" applyFont="1" applyBorder="1" applyAlignment="1">
      <alignment vertical="center"/>
    </xf>
    <xf numFmtId="0" fontId="2" fillId="0" borderId="5" xfId="5" applyFont="1" applyBorder="1" applyAlignment="1">
      <alignment horizontal="center" vertical="center"/>
    </xf>
    <xf numFmtId="49" fontId="2" fillId="0" borderId="5" xfId="5" applyNumberFormat="1" applyFont="1" applyBorder="1" applyAlignment="1">
      <alignment horizontal="center" vertical="center"/>
    </xf>
    <xf numFmtId="0" fontId="2" fillId="0" borderId="5" xfId="5" applyFont="1" applyBorder="1" applyAlignment="1">
      <alignment vertical="center"/>
    </xf>
    <xf numFmtId="40" fontId="2" fillId="0" borderId="5" xfId="5" applyNumberFormat="1" applyFont="1" applyBorder="1" applyAlignment="1">
      <alignment horizontal="center" vertical="center"/>
    </xf>
    <xf numFmtId="8" fontId="4" fillId="0" borderId="5" xfId="2" applyNumberFormat="1" applyFont="1" applyFill="1" applyBorder="1" applyAlignment="1">
      <alignment horizontal="center" vertical="center"/>
    </xf>
    <xf numFmtId="40" fontId="2" fillId="0" borderId="6" xfId="5" applyNumberFormat="1" applyFont="1" applyBorder="1" applyAlignment="1">
      <alignment horizontal="center" vertical="center"/>
    </xf>
    <xf numFmtId="0" fontId="2" fillId="0" borderId="5" xfId="0" applyFont="1" applyBorder="1" applyAlignment="1">
      <alignment horizontal="center" vertical="center"/>
    </xf>
    <xf numFmtId="0" fontId="28" fillId="0" borderId="5" xfId="5" applyFont="1" applyBorder="1" applyAlignment="1">
      <alignment horizontal="center" vertical="center"/>
    </xf>
    <xf numFmtId="4" fontId="2" fillId="0" borderId="6" xfId="5" applyNumberFormat="1" applyFont="1" applyBorder="1" applyAlignment="1">
      <alignment horizontal="center" vertical="center"/>
    </xf>
    <xf numFmtId="2" fontId="2" fillId="0" borderId="6" xfId="5" applyNumberFormat="1" applyFont="1" applyBorder="1" applyAlignment="1">
      <alignment horizontal="center" vertical="center"/>
    </xf>
    <xf numFmtId="0" fontId="30" fillId="0" borderId="5" xfId="5" applyFont="1" applyBorder="1" applyAlignment="1">
      <alignment horizontal="center" vertical="center"/>
    </xf>
    <xf numFmtId="49" fontId="2" fillId="0" borderId="6" xfId="5" applyNumberFormat="1" applyFont="1" applyBorder="1" applyAlignment="1">
      <alignment horizontal="center" vertical="center"/>
    </xf>
    <xf numFmtId="0" fontId="28" fillId="0" borderId="5" xfId="0" applyFont="1" applyBorder="1" applyAlignment="1">
      <alignment horizontal="center" vertical="center"/>
    </xf>
    <xf numFmtId="49" fontId="2" fillId="0" borderId="7" xfId="5" applyNumberFormat="1" applyFont="1" applyBorder="1" applyAlignment="1">
      <alignment horizontal="center" vertical="center"/>
    </xf>
    <xf numFmtId="4" fontId="16" fillId="0" borderId="0" xfId="4" applyNumberFormat="1" applyFont="1" applyAlignment="1">
      <alignment vertical="center"/>
    </xf>
    <xf numFmtId="4" fontId="38" fillId="0" borderId="0" xfId="4" applyNumberFormat="1" applyFont="1" applyAlignment="1">
      <alignment vertical="center"/>
    </xf>
    <xf numFmtId="4" fontId="19" fillId="0" borderId="0" xfId="4" applyNumberFormat="1" applyFont="1" applyAlignment="1">
      <alignment horizontal="right" vertical="center"/>
    </xf>
    <xf numFmtId="40" fontId="4" fillId="0" borderId="0" xfId="4" applyNumberFormat="1" applyFont="1" applyAlignment="1">
      <alignment horizontal="center" vertical="center"/>
    </xf>
    <xf numFmtId="0" fontId="19" fillId="0" borderId="0" xfId="4" applyFont="1" applyAlignment="1">
      <alignment horizontal="right" vertical="center"/>
    </xf>
    <xf numFmtId="164" fontId="4" fillId="0" borderId="0" xfId="4" applyNumberFormat="1" applyFont="1" applyAlignment="1">
      <alignment horizontal="left" vertical="center"/>
    </xf>
    <xf numFmtId="164" fontId="4" fillId="0" borderId="1" xfId="4" applyNumberFormat="1" applyFont="1" applyBorder="1" applyAlignment="1">
      <alignment vertical="center"/>
    </xf>
    <xf numFmtId="49" fontId="16" fillId="0" borderId="0" xfId="4" applyNumberFormat="1" applyFont="1" applyAlignment="1">
      <alignment vertical="center"/>
    </xf>
    <xf numFmtId="164" fontId="16" fillId="0" borderId="0" xfId="4" applyNumberFormat="1" applyFont="1" applyAlignment="1">
      <alignment horizontal="left" vertical="center"/>
    </xf>
    <xf numFmtId="164" fontId="16" fillId="0" borderId="0" xfId="4" applyNumberFormat="1" applyFont="1" applyAlignment="1">
      <alignment vertical="center"/>
    </xf>
    <xf numFmtId="40" fontId="16" fillId="0" borderId="0" xfId="4" applyNumberFormat="1" applyFont="1" applyAlignment="1">
      <alignment vertical="center"/>
    </xf>
    <xf numFmtId="49" fontId="2" fillId="0" borderId="0" xfId="4" applyNumberFormat="1" applyAlignment="1">
      <alignment horizontal="center" vertical="center"/>
    </xf>
    <xf numFmtId="49" fontId="2" fillId="0" borderId="0" xfId="4" applyNumberFormat="1" applyAlignment="1">
      <alignment horizontal="left" vertical="center"/>
    </xf>
    <xf numFmtId="1" fontId="2" fillId="0" borderId="0" xfId="4" applyNumberFormat="1" applyAlignment="1">
      <alignment horizontal="center" vertical="center"/>
    </xf>
    <xf numFmtId="0" fontId="2" fillId="0" borderId="0" xfId="0" applyFont="1" applyAlignment="1">
      <alignment vertical="center"/>
    </xf>
    <xf numFmtId="0" fontId="2" fillId="0" borderId="0" xfId="4" applyAlignment="1">
      <alignment vertical="center"/>
    </xf>
    <xf numFmtId="4" fontId="19" fillId="0" borderId="3" xfId="4" applyNumberFormat="1" applyFont="1" applyBorder="1" applyAlignment="1">
      <alignment horizontal="right" vertical="center"/>
    </xf>
    <xf numFmtId="40" fontId="2" fillId="0" borderId="0" xfId="4" applyNumberFormat="1" applyAlignment="1">
      <alignment vertical="center"/>
    </xf>
    <xf numFmtId="40" fontId="2" fillId="0" borderId="0" xfId="4" quotePrefix="1" applyNumberFormat="1" applyAlignment="1">
      <alignment vertical="center"/>
    </xf>
    <xf numFmtId="40" fontId="2" fillId="0" borderId="0" xfId="4" applyNumberFormat="1" applyAlignment="1">
      <alignment horizontal="center" vertical="center"/>
    </xf>
    <xf numFmtId="0" fontId="4" fillId="0" borderId="0" xfId="4" applyFont="1" applyAlignment="1">
      <alignment vertical="center"/>
    </xf>
    <xf numFmtId="49" fontId="4" fillId="0" borderId="0" xfId="4" applyNumberFormat="1" applyFont="1" applyAlignment="1">
      <alignment vertical="center"/>
    </xf>
    <xf numFmtId="0" fontId="4" fillId="0" borderId="1" xfId="4" applyFont="1" applyBorder="1" applyAlignment="1">
      <alignment vertical="center"/>
    </xf>
    <xf numFmtId="40" fontId="4" fillId="0" borderId="1" xfId="4" applyNumberFormat="1" applyFont="1" applyBorder="1" applyAlignment="1">
      <alignment vertical="center"/>
    </xf>
    <xf numFmtId="165" fontId="32" fillId="0" borderId="0" xfId="0" applyNumberFormat="1" applyFont="1" applyAlignment="1">
      <alignment horizontal="center" vertical="center"/>
    </xf>
    <xf numFmtId="0" fontId="32" fillId="0" borderId="0" xfId="0" applyFont="1" applyAlignment="1">
      <alignment horizontal="center" vertical="center"/>
    </xf>
    <xf numFmtId="43" fontId="4" fillId="0" borderId="0" xfId="2" applyNumberFormat="1" applyFont="1" applyAlignment="1">
      <alignment vertical="center"/>
    </xf>
    <xf numFmtId="40" fontId="38" fillId="0" borderId="0" xfId="2" applyNumberFormat="1" applyFont="1" applyAlignment="1">
      <alignment vertical="center"/>
    </xf>
    <xf numFmtId="43" fontId="38" fillId="0" borderId="0" xfId="0" applyNumberFormat="1" applyFont="1" applyAlignment="1">
      <alignment horizontal="right" vertical="center"/>
    </xf>
    <xf numFmtId="0" fontId="4" fillId="0" borderId="0" xfId="6" applyFont="1" applyAlignment="1">
      <alignment vertical="center"/>
    </xf>
    <xf numFmtId="0" fontId="2" fillId="0" borderId="0" xfId="6" applyFont="1" applyAlignment="1">
      <alignment vertical="center"/>
    </xf>
    <xf numFmtId="0" fontId="2" fillId="0" borderId="0" xfId="6" applyFont="1" applyAlignment="1">
      <alignment horizontal="center" vertical="center"/>
    </xf>
    <xf numFmtId="4" fontId="2" fillId="0" borderId="0" xfId="6" applyNumberFormat="1" applyFont="1" applyAlignment="1">
      <alignment horizontal="center" vertical="center"/>
    </xf>
    <xf numFmtId="40" fontId="2" fillId="0" borderId="0" xfId="6" applyNumberFormat="1" applyFont="1" applyAlignment="1">
      <alignment vertical="center"/>
    </xf>
    <xf numFmtId="0" fontId="28" fillId="0" borderId="0" xfId="6" applyFont="1" applyAlignment="1">
      <alignment vertical="center"/>
    </xf>
    <xf numFmtId="40" fontId="2" fillId="0" borderId="0" xfId="6" applyNumberFormat="1" applyFont="1" applyAlignment="1">
      <alignment horizontal="center" vertical="center"/>
    </xf>
    <xf numFmtId="164" fontId="2" fillId="0" borderId="3" xfId="4" applyNumberFormat="1" applyBorder="1" applyAlignment="1">
      <alignment horizontal="center" vertical="center"/>
    </xf>
    <xf numFmtId="4" fontId="38" fillId="0" borderId="3" xfId="4" applyNumberFormat="1" applyFont="1" applyBorder="1" applyAlignment="1">
      <alignment horizontal="center" vertical="center"/>
    </xf>
    <xf numFmtId="4" fontId="19" fillId="0" borderId="0" xfId="4" applyNumberFormat="1" applyFont="1" applyAlignment="1">
      <alignment vertical="center"/>
    </xf>
    <xf numFmtId="14" fontId="2" fillId="0" borderId="0" xfId="4" applyNumberFormat="1" applyAlignment="1">
      <alignment horizontal="center" vertical="center"/>
    </xf>
    <xf numFmtId="0" fontId="2" fillId="0" borderId="0" xfId="4" applyAlignment="1">
      <alignment horizontal="center" vertical="center"/>
    </xf>
    <xf numFmtId="40" fontId="2" fillId="0" borderId="0" xfId="4" quotePrefix="1" applyNumberFormat="1" applyAlignment="1">
      <alignment horizontal="left" vertical="center"/>
    </xf>
    <xf numFmtId="40" fontId="4" fillId="0" borderId="0" xfId="4" applyNumberFormat="1" applyFont="1" applyAlignment="1">
      <alignment vertical="center"/>
    </xf>
    <xf numFmtId="1" fontId="2" fillId="0" borderId="0" xfId="4" applyNumberFormat="1" applyAlignment="1">
      <alignment horizontal="left" vertical="center"/>
    </xf>
    <xf numFmtId="14" fontId="2" fillId="0" borderId="0" xfId="4" applyNumberFormat="1" applyAlignment="1">
      <alignment vertical="center"/>
    </xf>
    <xf numFmtId="14" fontId="4" fillId="0" borderId="0" xfId="4" applyNumberFormat="1" applyFont="1" applyAlignment="1">
      <alignment vertical="center"/>
    </xf>
    <xf numFmtId="1" fontId="4" fillId="0" borderId="0" xfId="4" applyNumberFormat="1" applyFont="1" applyAlignment="1">
      <alignment vertical="center"/>
    </xf>
    <xf numFmtId="0" fontId="19" fillId="0" borderId="0" xfId="4" applyFont="1" applyAlignment="1">
      <alignment vertical="center"/>
    </xf>
    <xf numFmtId="0" fontId="16" fillId="0" borderId="0" xfId="4" applyFont="1" applyAlignment="1">
      <alignment horizontal="right" vertical="center"/>
    </xf>
    <xf numFmtId="164" fontId="28" fillId="0" borderId="0" xfId="4" applyNumberFormat="1" applyFont="1" applyAlignment="1">
      <alignment horizontal="center" vertical="center"/>
    </xf>
    <xf numFmtId="40" fontId="38" fillId="0" borderId="0" xfId="4" applyNumberFormat="1" applyFont="1" applyAlignment="1">
      <alignment horizontal="center" vertical="center"/>
    </xf>
    <xf numFmtId="43" fontId="2" fillId="0" borderId="0" xfId="4" applyNumberFormat="1" applyAlignment="1">
      <alignment vertical="center"/>
    </xf>
    <xf numFmtId="44" fontId="4" fillId="0" borderId="0" xfId="2" applyFont="1" applyAlignment="1">
      <alignment vertical="center"/>
    </xf>
    <xf numFmtId="4" fontId="4" fillId="0" borderId="0" xfId="4" applyNumberFormat="1" applyFont="1" applyAlignment="1">
      <alignment horizontal="center" vertical="center"/>
    </xf>
    <xf numFmtId="0" fontId="2" fillId="0" borderId="3" xfId="4" applyBorder="1" applyAlignment="1">
      <alignment horizontal="left" vertical="center"/>
    </xf>
    <xf numFmtId="49" fontId="30" fillId="0" borderId="0" xfId="4" applyNumberFormat="1" applyFont="1" applyAlignment="1">
      <alignment vertical="center"/>
    </xf>
    <xf numFmtId="164" fontId="30" fillId="0" borderId="0" xfId="4" applyNumberFormat="1" applyFont="1" applyAlignment="1">
      <alignment horizontal="center" vertical="center"/>
    </xf>
    <xf numFmtId="164" fontId="30" fillId="0" borderId="0" xfId="4" applyNumberFormat="1" applyFont="1" applyAlignment="1">
      <alignment horizontal="left" vertical="center"/>
    </xf>
    <xf numFmtId="4" fontId="30" fillId="0" borderId="0" xfId="4" applyNumberFormat="1" applyFont="1" applyAlignment="1">
      <alignment horizontal="center" vertical="center"/>
    </xf>
    <xf numFmtId="4" fontId="30" fillId="0" borderId="0" xfId="4" applyNumberFormat="1" applyFont="1" applyAlignment="1">
      <alignment vertical="center"/>
    </xf>
    <xf numFmtId="0" fontId="30" fillId="0" borderId="0" xfId="4" applyFont="1" applyAlignment="1">
      <alignment vertical="center"/>
    </xf>
    <xf numFmtId="49" fontId="30" fillId="0" borderId="3" xfId="4" applyNumberFormat="1" applyFont="1" applyBorder="1" applyAlignment="1">
      <alignment vertical="center"/>
    </xf>
    <xf numFmtId="164" fontId="30" fillId="0" borderId="3" xfId="0" applyNumberFormat="1" applyFont="1" applyBorder="1" applyAlignment="1">
      <alignment horizontal="center" vertical="center"/>
    </xf>
    <xf numFmtId="164" fontId="30" fillId="0" borderId="3" xfId="4" applyNumberFormat="1" applyFont="1" applyBorder="1" applyAlignment="1">
      <alignment horizontal="left" vertical="center"/>
    </xf>
    <xf numFmtId="4" fontId="30" fillId="0" borderId="3" xfId="4" applyNumberFormat="1" applyFont="1" applyBorder="1" applyAlignment="1">
      <alignment horizontal="center" vertical="center"/>
    </xf>
    <xf numFmtId="4" fontId="28" fillId="0" borderId="3" xfId="4" applyNumberFormat="1" applyFont="1" applyBorder="1" applyAlignment="1">
      <alignment vertical="center"/>
    </xf>
    <xf numFmtId="4" fontId="30" fillId="0" borderId="3" xfId="4" applyNumberFormat="1" applyFont="1" applyBorder="1" applyAlignment="1">
      <alignment vertical="center"/>
    </xf>
    <xf numFmtId="0" fontId="28" fillId="0" borderId="3" xfId="4" applyFont="1" applyBorder="1" applyAlignment="1">
      <alignment horizontal="right" vertical="center"/>
    </xf>
    <xf numFmtId="40" fontId="28" fillId="0" borderId="0" xfId="4" applyNumberFormat="1" applyFont="1" applyAlignment="1">
      <alignment horizontal="center" vertical="center"/>
    </xf>
    <xf numFmtId="4" fontId="30" fillId="0" borderId="0" xfId="4" applyNumberFormat="1" applyFont="1" applyAlignment="1">
      <alignment horizontal="left" vertical="center"/>
    </xf>
    <xf numFmtId="0" fontId="30" fillId="0" borderId="0" xfId="4" applyFont="1" applyAlignment="1">
      <alignment horizontal="left" vertical="center"/>
    </xf>
    <xf numFmtId="164" fontId="30" fillId="0" borderId="0" xfId="4" applyNumberFormat="1" applyFont="1" applyAlignment="1">
      <alignment vertical="center"/>
    </xf>
    <xf numFmtId="164" fontId="28" fillId="0" borderId="0" xfId="4" applyNumberFormat="1" applyFont="1" applyAlignment="1">
      <alignment horizontal="left" vertical="center"/>
    </xf>
    <xf numFmtId="164" fontId="28" fillId="0" borderId="1" xfId="4" applyNumberFormat="1" applyFont="1" applyBorder="1" applyAlignment="1">
      <alignment vertical="center"/>
    </xf>
    <xf numFmtId="164" fontId="28" fillId="0" borderId="0" xfId="4" applyNumberFormat="1" applyFont="1" applyAlignment="1">
      <alignment vertical="center"/>
    </xf>
    <xf numFmtId="44" fontId="28" fillId="0" borderId="0" xfId="2" applyFont="1" applyBorder="1" applyAlignment="1">
      <alignment vertical="center"/>
    </xf>
    <xf numFmtId="2" fontId="19" fillId="0" borderId="0" xfId="4" applyNumberFormat="1" applyFont="1" applyAlignment="1">
      <alignment horizontal="right" vertical="center"/>
    </xf>
    <xf numFmtId="4" fontId="4" fillId="0" borderId="0" xfId="6" applyNumberFormat="1" applyFont="1" applyAlignment="1">
      <alignment horizontal="center" vertical="center"/>
    </xf>
    <xf numFmtId="4" fontId="2" fillId="0" borderId="0" xfId="4" applyNumberFormat="1" applyAlignment="1">
      <alignment horizontal="left" vertical="center"/>
    </xf>
    <xf numFmtId="164" fontId="2" fillId="0" borderId="0" xfId="4" quotePrefix="1" applyNumberFormat="1" applyAlignment="1">
      <alignment horizontal="center" vertical="center"/>
    </xf>
    <xf numFmtId="0" fontId="19" fillId="0" borderId="3" xfId="4" applyFont="1" applyBorder="1" applyAlignment="1">
      <alignment vertical="center"/>
    </xf>
    <xf numFmtId="40" fontId="28" fillId="0" borderId="0" xfId="4" applyNumberFormat="1" applyFont="1" applyAlignment="1">
      <alignment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xf>
    <xf numFmtId="4" fontId="4" fillId="0" borderId="1" xfId="2" applyNumberFormat="1" applyFont="1" applyBorder="1" applyAlignment="1">
      <alignment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164" fontId="30" fillId="0" borderId="3" xfId="4" applyNumberFormat="1" applyFont="1" applyBorder="1" applyAlignment="1">
      <alignment horizontal="center" vertical="center"/>
    </xf>
    <xf numFmtId="0" fontId="28" fillId="0" borderId="0" xfId="4" applyFont="1" applyAlignment="1">
      <alignment vertical="center"/>
    </xf>
    <xf numFmtId="40" fontId="38" fillId="0" borderId="0" xfId="4" applyNumberFormat="1" applyFont="1" applyAlignment="1">
      <alignment vertical="center"/>
    </xf>
    <xf numFmtId="43" fontId="28" fillId="0" borderId="0" xfId="1" applyFont="1" applyAlignment="1">
      <alignment horizontal="center" vertical="center"/>
    </xf>
    <xf numFmtId="39" fontId="38" fillId="0" borderId="0" xfId="2" applyNumberFormat="1" applyFont="1" applyAlignment="1">
      <alignment vertical="center"/>
    </xf>
    <xf numFmtId="39" fontId="24" fillId="0" borderId="0" xfId="2" applyNumberFormat="1" applyFont="1" applyAlignment="1">
      <alignment horizontal="right" vertical="center"/>
    </xf>
    <xf numFmtId="39" fontId="38" fillId="0" borderId="0" xfId="2" applyNumberFormat="1" applyFont="1" applyAlignment="1">
      <alignment horizontal="right" vertical="center"/>
    </xf>
    <xf numFmtId="44" fontId="4" fillId="0" borderId="0" xfId="2" applyFont="1" applyBorder="1" applyAlignment="1">
      <alignment horizontal="center" vertical="center"/>
    </xf>
    <xf numFmtId="44" fontId="24" fillId="0" borderId="0" xfId="2" applyFont="1" applyAlignment="1">
      <alignment vertical="center"/>
    </xf>
    <xf numFmtId="40" fontId="30" fillId="0" borderId="0" xfId="4" applyNumberFormat="1" applyFont="1" applyAlignment="1">
      <alignment vertical="center"/>
    </xf>
    <xf numFmtId="49" fontId="30" fillId="0" borderId="11" xfId="4" applyNumberFormat="1" applyFont="1" applyBorder="1" applyAlignment="1">
      <alignment vertical="center"/>
    </xf>
    <xf numFmtId="164" fontId="30" fillId="0" borderId="11" xfId="4" applyNumberFormat="1" applyFont="1" applyBorder="1" applyAlignment="1">
      <alignment horizontal="center" vertical="center"/>
    </xf>
    <xf numFmtId="164" fontId="30" fillId="0" borderId="11" xfId="4" applyNumberFormat="1" applyFont="1" applyBorder="1" applyAlignment="1">
      <alignment horizontal="left" vertical="center"/>
    </xf>
    <xf numFmtId="4" fontId="28" fillId="0" borderId="11" xfId="4" applyNumberFormat="1" applyFont="1" applyBorder="1" applyAlignment="1">
      <alignment horizontal="center" vertical="center"/>
    </xf>
    <xf numFmtId="4" fontId="30" fillId="0" borderId="11" xfId="4" applyNumberFormat="1" applyFont="1" applyBorder="1" applyAlignment="1">
      <alignment horizontal="center" vertical="center"/>
    </xf>
    <xf numFmtId="4" fontId="30" fillId="0" borderId="11" xfId="4" applyNumberFormat="1" applyFont="1" applyBorder="1" applyAlignment="1">
      <alignment vertical="center"/>
    </xf>
    <xf numFmtId="44" fontId="28" fillId="0" borderId="1" xfId="2" applyFont="1" applyFill="1" applyBorder="1" applyAlignment="1">
      <alignment vertical="center"/>
    </xf>
    <xf numFmtId="44" fontId="28" fillId="0" borderId="0" xfId="2" applyFont="1" applyFill="1" applyBorder="1" applyAlignment="1">
      <alignment vertical="center"/>
    </xf>
    <xf numFmtId="0" fontId="30" fillId="0" borderId="0" xfId="6" applyFont="1" applyAlignment="1">
      <alignment vertical="center"/>
    </xf>
    <xf numFmtId="0" fontId="30" fillId="0" borderId="0" xfId="6" applyFont="1" applyAlignment="1">
      <alignment horizontal="center" vertical="center"/>
    </xf>
    <xf numFmtId="4" fontId="30" fillId="0" borderId="0" xfId="6" applyNumberFormat="1" applyFont="1" applyAlignment="1">
      <alignment horizontal="center" vertical="center"/>
    </xf>
    <xf numFmtId="40" fontId="30" fillId="0" borderId="0" xfId="6" applyNumberFormat="1" applyFont="1" applyAlignment="1">
      <alignment vertical="center"/>
    </xf>
    <xf numFmtId="40" fontId="30" fillId="0" borderId="0" xfId="6" applyNumberFormat="1" applyFont="1" applyAlignment="1">
      <alignment horizontal="center" vertical="center"/>
    </xf>
    <xf numFmtId="40" fontId="30" fillId="0" borderId="0" xfId="4" applyNumberFormat="1" applyFont="1" applyAlignment="1">
      <alignment horizontal="center" vertical="center"/>
    </xf>
    <xf numFmtId="39" fontId="28" fillId="0" borderId="0" xfId="2" applyNumberFormat="1" applyFont="1" applyAlignment="1">
      <alignment horizontal="right" vertical="center"/>
    </xf>
    <xf numFmtId="0" fontId="47" fillId="0" borderId="1" xfId="0" applyFont="1" applyBorder="1" applyAlignment="1">
      <alignment horizontal="center" vertical="center"/>
    </xf>
    <xf numFmtId="49" fontId="28" fillId="0" borderId="1" xfId="0" applyNumberFormat="1" applyFont="1" applyBorder="1" applyAlignment="1">
      <alignment horizontal="center" vertical="center"/>
    </xf>
    <xf numFmtId="4" fontId="28" fillId="0" borderId="1" xfId="2" applyNumberFormat="1" applyFont="1" applyBorder="1" applyAlignment="1">
      <alignment vertical="center"/>
    </xf>
    <xf numFmtId="0" fontId="28" fillId="0" borderId="1" xfId="0" applyFont="1" applyBorder="1" applyAlignment="1">
      <alignment horizontal="center" vertical="center"/>
    </xf>
    <xf numFmtId="49" fontId="47" fillId="0" borderId="1" xfId="0" applyNumberFormat="1" applyFont="1" applyBorder="1" applyAlignment="1">
      <alignment horizontal="center" vertical="center"/>
    </xf>
    <xf numFmtId="164" fontId="47" fillId="0" borderId="1" xfId="0" applyNumberFormat="1" applyFont="1" applyBorder="1" applyAlignment="1">
      <alignment horizontal="center" vertical="center"/>
    </xf>
    <xf numFmtId="49" fontId="30" fillId="0" borderId="0" xfId="4" applyNumberFormat="1" applyFont="1" applyAlignment="1">
      <alignment horizontal="center" vertical="center"/>
    </xf>
    <xf numFmtId="49" fontId="30" fillId="0" borderId="0" xfId="4" applyNumberFormat="1" applyFont="1" applyAlignment="1">
      <alignment horizontal="left" vertical="center"/>
    </xf>
    <xf numFmtId="1" fontId="30" fillId="0" borderId="0" xfId="4" applyNumberFormat="1" applyFont="1" applyAlignment="1">
      <alignment horizontal="center" vertical="center"/>
    </xf>
    <xf numFmtId="4" fontId="28" fillId="0" borderId="3" xfId="4" applyNumberFormat="1" applyFont="1" applyBorder="1" applyAlignment="1">
      <alignment horizontal="right" vertical="center"/>
    </xf>
    <xf numFmtId="14" fontId="30" fillId="0" borderId="0" xfId="4" applyNumberFormat="1" applyFont="1" applyAlignment="1">
      <alignment horizontal="center" vertical="center"/>
    </xf>
    <xf numFmtId="1" fontId="30" fillId="0" borderId="0" xfId="4" quotePrefix="1" applyNumberFormat="1" applyFont="1" applyAlignment="1">
      <alignment horizontal="left" vertical="center"/>
    </xf>
    <xf numFmtId="40" fontId="30" fillId="0" borderId="0" xfId="4" quotePrefix="1" applyNumberFormat="1" applyFont="1" applyAlignment="1">
      <alignment horizontal="left" vertical="center"/>
    </xf>
    <xf numFmtId="1" fontId="30" fillId="0" borderId="0" xfId="4" applyNumberFormat="1" applyFont="1" applyAlignment="1">
      <alignment horizontal="left" vertical="center"/>
    </xf>
    <xf numFmtId="40" fontId="30" fillId="0" borderId="0" xfId="4" applyNumberFormat="1" applyFont="1" applyAlignment="1">
      <alignment horizontal="left" vertical="center"/>
    </xf>
    <xf numFmtId="14" fontId="30" fillId="0" borderId="0" xfId="4" applyNumberFormat="1" applyFont="1" applyAlignment="1">
      <alignment vertical="center"/>
    </xf>
    <xf numFmtId="49" fontId="28" fillId="0" borderId="0" xfId="4" applyNumberFormat="1" applyFont="1" applyAlignment="1">
      <alignment vertical="center"/>
    </xf>
    <xf numFmtId="14" fontId="28" fillId="0" borderId="0" xfId="4" applyNumberFormat="1" applyFont="1" applyAlignment="1">
      <alignment vertical="center"/>
    </xf>
    <xf numFmtId="1" fontId="28" fillId="0" borderId="0" xfId="4" applyNumberFormat="1" applyFont="1" applyAlignment="1">
      <alignment vertical="center"/>
    </xf>
    <xf numFmtId="0" fontId="28" fillId="0" borderId="1" xfId="4" applyFont="1" applyBorder="1" applyAlignment="1">
      <alignment vertical="center"/>
    </xf>
    <xf numFmtId="40" fontId="28" fillId="0" borderId="1" xfId="4" applyNumberFormat="1" applyFont="1" applyBorder="1" applyAlignment="1">
      <alignment vertical="center"/>
    </xf>
    <xf numFmtId="0" fontId="40" fillId="0" borderId="0" xfId="0" applyFont="1" applyAlignment="1">
      <alignment vertical="center"/>
    </xf>
    <xf numFmtId="44" fontId="4" fillId="0" borderId="1" xfId="2" applyFont="1" applyBorder="1" applyAlignment="1"/>
    <xf numFmtId="0" fontId="28" fillId="0" borderId="0" xfId="4" applyFont="1" applyAlignment="1">
      <alignment horizontal="right" vertical="center"/>
    </xf>
    <xf numFmtId="4" fontId="0" fillId="0" borderId="0" xfId="0" applyNumberFormat="1" applyAlignment="1">
      <alignment vertical="center"/>
    </xf>
    <xf numFmtId="49" fontId="30" fillId="0" borderId="3" xfId="4" applyNumberFormat="1" applyFont="1" applyBorder="1" applyAlignment="1">
      <alignment vertical="center" wrapText="1"/>
    </xf>
    <xf numFmtId="0" fontId="30" fillId="0" borderId="0" xfId="4" applyFont="1" applyAlignment="1">
      <alignment horizontal="center" vertical="center"/>
    </xf>
    <xf numFmtId="40" fontId="30" fillId="0" borderId="0" xfId="4" quotePrefix="1" applyNumberFormat="1" applyFont="1" applyAlignment="1">
      <alignment vertical="center"/>
    </xf>
    <xf numFmtId="44" fontId="28" fillId="0" borderId="0" xfId="2" applyFont="1" applyAlignment="1">
      <alignment horizontal="right" vertical="center"/>
    </xf>
    <xf numFmtId="43" fontId="28" fillId="0" borderId="0" xfId="2" applyNumberFormat="1" applyFont="1" applyAlignment="1">
      <alignment vertical="center"/>
    </xf>
    <xf numFmtId="8" fontId="28" fillId="0" borderId="0" xfId="4" applyNumberFormat="1" applyFont="1" applyAlignment="1">
      <alignment horizontal="center" vertical="center"/>
    </xf>
    <xf numFmtId="2" fontId="10" fillId="0" borderId="0" xfId="4" applyNumberFormat="1" applyFont="1" applyAlignment="1">
      <alignment horizontal="left"/>
    </xf>
    <xf numFmtId="40" fontId="2" fillId="0" borderId="0" xfId="4" applyNumberFormat="1" applyAlignment="1">
      <alignment horizontal="right" vertical="center"/>
    </xf>
    <xf numFmtId="40" fontId="36" fillId="0" borderId="0" xfId="4" applyNumberFormat="1" applyFont="1" applyAlignment="1">
      <alignment horizontal="center" wrapText="1"/>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externalLink" Target="externalLinks/externalLink4.xml"/><Relationship Id="rId203"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externalLink" Target="externalLinks/externalLink1.xml"/><Relationship Id="rId200" Type="http://schemas.openxmlformats.org/officeDocument/2006/relationships/theme" Target="theme/theme1.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externalLink" Target="externalLinks/externalLink2.xml"/><Relationship Id="rId201" Type="http://schemas.openxmlformats.org/officeDocument/2006/relationships/styles" Target="styles.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externalLink" Target="externalLinks/externalLink3.xml"/><Relationship Id="rId202" Type="http://schemas.openxmlformats.org/officeDocument/2006/relationships/sharedStrings" Target="sharedStrings.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GSE%20Infrastructure/MOU%20Project%20Improvements%20(DA24)%200506/MOU%20Project%20Improvements%20DA24.xls" TargetMode="External"/><Relationship Id="rId2" Type="http://schemas.openxmlformats.org/officeDocument/2006/relationships/externalLinkPath" Target="file:///N:\DAS%20Shared%20Perm\GSE%20Infrastructure\MOU%20Project%20Improvements%20(DA24)%200506\MOU%20Project%20Improvements%20DA24.xls" TargetMode="External"/><Relationship Id="rId1" Type="http://schemas.openxmlformats.org/officeDocument/2006/relationships/externalLinkPath" Target="/DAS%20Shared%20Perm/GSE%20Infrastructure/MOU%20Project%20Improvements%20(DA24)%200506/MOU%20Project%20Improvements%20DA24.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GSE%20Infrastructure/MM%20FY23%200017-MM23/Major%20Maintenance%20FY23%20MM23.xls" TargetMode="External"/><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GSE%20Infrastructure/MM%20FY24%200017-MM24/Major%20Maintenance%20FY24%20MM24.xls" TargetMode="External"/><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GSE%20Infrastructure/MOU%20Project%20Improvements%20(DA26)%200506/MOU%20Project%20Improvements%20DA26.xlsx" TargetMode="External"/><Relationship Id="rId2" Type="http://schemas.openxmlformats.org/officeDocument/2006/relationships/externalLinkPath" Target="file:///N:\DAS%20Shared%20Perm\GSE%20Infrastructure\MOU%20Project%20Improvements%20(DA26)%200506\MOU%20Project%20Improvements%20DA26.xlsx" TargetMode="External"/><Relationship Id="rId1" Type="http://schemas.openxmlformats.org/officeDocument/2006/relationships/externalLinkPath" Target="/DAS%20Shared%20Perm/GSE%20Infrastructure/MOU%20Project%20Improvements%20(DA26)%200506/MOU%20Project%20Improvements%20DA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sheetName val="RECAP #9211.01"/>
      <sheetName val="#9211.01 Funds Rec'd"/>
      <sheetName val="#9211.01 DCI Group"/>
      <sheetName val="#9211.01 PM TIME"/>
      <sheetName val="#9211.01 Misc"/>
      <sheetName val="#9211.01 KCL Engineering"/>
      <sheetName val="#9211.01 Electronic Contracting"/>
      <sheetName val="RECAP #9223.00"/>
      <sheetName val="#9223.00 Funds Rec'd"/>
      <sheetName val="#9223.00 Samuels Group"/>
      <sheetName val="#9223.00 PM TIME"/>
      <sheetName val="#9223.00 Misc"/>
      <sheetName val="#9223.00 Denovo LLC"/>
      <sheetName val="#9223.00 Farnsworth Group"/>
      <sheetName val="#9223.00 Graphite Construction"/>
      <sheetName val="#9223.00 Enterprise Precast "/>
      <sheetName val="#9223.00 Esco Electric Company"/>
      <sheetName val="#9223.00 Mahoney Fire Sprinkler"/>
      <sheetName val="#9223.00 Black Hawk Roof Co"/>
      <sheetName val="#9223.00 A&amp;W Enterprises"/>
      <sheetName val="#9223.00 Rapids FoodService"/>
      <sheetName val="#9223.00 Samuels Group #157CA"/>
      <sheetName val="#9223.00 Proctor Mechanical"/>
      <sheetName val="#9223.00 Tri-City Electric Co."/>
      <sheetName val="#9223.00 System Technology"/>
      <sheetName val="RECAP #9279.30"/>
      <sheetName val="#9279.30 Funds Rec'd"/>
      <sheetName val="#9279.30 Shive Hattery"/>
      <sheetName val="#9279.30 PM TIME"/>
      <sheetName val="#9279.30 Misc"/>
      <sheetName val="#9279.30 SystemWorks"/>
      <sheetName val="#9279.30 ATC Group"/>
      <sheetName val="#9279.30 ATC Group (2)"/>
      <sheetName val="#9279.30 Van Maanen Electric"/>
      <sheetName val="#9279.30 Pleva Plumbing"/>
      <sheetName val="#9279.30 Story Construction"/>
      <sheetName val="#9279.30 Story Construction (2)"/>
      <sheetName val="#9279.30 Earth Services &amp; Abate"/>
      <sheetName val="#9279.30 Hilsabeck Schacht"/>
      <sheetName val="#9279.30 Black Hills Enegery"/>
      <sheetName val="#9279.30 Shive Hattery (2)"/>
      <sheetName val="#9279.30 Story Construction(3)"/>
      <sheetName val="#9279.30 Mahoney Fire Sprinkler"/>
      <sheetName val="#9279.30 Kline Electrical"/>
      <sheetName val="RECAP #9279.32"/>
      <sheetName val="#9279.32 Funds Rec'd "/>
      <sheetName val="#9279.32 Hilsabeck Schacht"/>
      <sheetName val="#9279.32 PM TIME  "/>
      <sheetName val="#9279.32 Misc "/>
      <sheetName val="#9279.32 Story Construction"/>
      <sheetName val="#9279.32 Mahoney Fire Sprinkler"/>
      <sheetName val="RECAP #9314.01"/>
      <sheetName val="#9314.01 Funds Rec'd"/>
      <sheetName val="#9314.01 Vendor A"/>
      <sheetName val="#9314.01 PM TIME"/>
      <sheetName val="#9314.01 Misc"/>
      <sheetName val="RECAP #9353.00"/>
      <sheetName val="#9353.00 Funds Rec'd "/>
      <sheetName val="#9353.00 Samuels Group"/>
      <sheetName val="#9353.00 PM TIME "/>
      <sheetName val="#9353.00 Misc "/>
      <sheetName val="#9353.00 KCL Engineering"/>
      <sheetName val="#9353.00 Cummins Inc"/>
      <sheetName val="#9353.00 Terracon Consultants"/>
      <sheetName val="#9353.00 Grainger Lighting"/>
      <sheetName val="#9353.00 Gerad Electric"/>
      <sheetName val="#9353.00 Samuels Group (2)"/>
      <sheetName val="#9353.00 Nelson Electric"/>
      <sheetName val="#9353.00 Graybar - Electrical"/>
      <sheetName val="#9353.00 Grainger-Conduit&amp;Wire"/>
      <sheetName val="#9353.00 Graybar-Electrical(2)"/>
      <sheetName val="#9353.00 CDW Government"/>
      <sheetName val="#9353.00 CDW Government (2)"/>
      <sheetName val="RECAP #9355.00"/>
      <sheetName val="#9355.00 Funds Rec'd "/>
      <sheetName val="#9355.00 DCI Group"/>
      <sheetName val="#9355.00 PM TIME "/>
      <sheetName val="#9355.00 Misc "/>
      <sheetName val="#9355.00 Shive Hattery"/>
      <sheetName val="#9355.00 Henley Group"/>
      <sheetName val="#9355.00 DCI Group 2"/>
      <sheetName val="#9355.00 Sabus Concrete"/>
      <sheetName val="RECAP #9356.00"/>
      <sheetName val="#9356.00 Funds Rec'd"/>
      <sheetName val="#9356.00 Samuels Group"/>
      <sheetName val="#9356.00 PM TIME"/>
      <sheetName val="#9356.00 Misc"/>
      <sheetName val="#9356.00 HGM Associates"/>
      <sheetName val="#9356.00 Andersen Construction"/>
      <sheetName val="#9356.00 Earth Services"/>
      <sheetName val="#9356.00 ONeal Electric"/>
      <sheetName val="#9356.00 B&amp;K Mechanical"/>
      <sheetName val="#9356.00 Samuels Group (2)"/>
      <sheetName val="RECAP #9358.00"/>
      <sheetName val="#9358.00 Funds Rec'd "/>
      <sheetName val="#9358.00 DCI Group"/>
      <sheetName val="#9358.00 PM TIME "/>
      <sheetName val="#9358.00 Misc"/>
      <sheetName val="#9358.00 System Works LLC"/>
      <sheetName val="#9358.00 KCL Engineering"/>
      <sheetName val="RECAP #9360.00"/>
      <sheetName val="#9360.00 Funds Rec'd"/>
      <sheetName val="#9360.00 McGough"/>
      <sheetName val="#9360.00 PM TIME"/>
      <sheetName val="#9360.00 Misc"/>
      <sheetName val="#9360.00 KCL Engineering"/>
      <sheetName val="RECAP #9362.00"/>
      <sheetName val="#9362.00 Funds Rec'd"/>
      <sheetName val="#9362.00 DCI Group"/>
      <sheetName val="#9362.00 PM TIME"/>
      <sheetName val="#9362.00 Misc"/>
      <sheetName val="#9362.00 Shive Hattery"/>
      <sheetName val="#9362.00 System Works LLC"/>
      <sheetName val="#9362.00 Baker Group"/>
      <sheetName val="#9362.00 Van Maanen"/>
      <sheetName val="RECAP #9363.00"/>
      <sheetName val="#9363.00 Funds Rec'd"/>
      <sheetName val="#9363.00 Samuels Group"/>
      <sheetName val="#9363.00 PM TIME"/>
      <sheetName val="#9363.00 Misc"/>
      <sheetName val="#9363.00 Modern Design"/>
      <sheetName val="#9363.00 Samuels Group (2)"/>
      <sheetName val="#9363.00 McKinnis Roofing"/>
      <sheetName val="RECAP #9367.00"/>
      <sheetName val="#9367.00 Funds Rec'd  "/>
      <sheetName val="#9367.00 Black Hawk Roofing"/>
      <sheetName val="#9367.00 PM TIME  "/>
      <sheetName val="#9367.00 Misc"/>
      <sheetName val="RECAP #9374.00"/>
      <sheetName val="#9374.00 Funds Rec'd"/>
      <sheetName val="#9374.00 Genesis Architectural"/>
      <sheetName val="#9374.00 PM TIME"/>
      <sheetName val="#9374.00 Misc"/>
      <sheetName val="#9374.00 DCI Group"/>
      <sheetName val="#9374.00 Genesis Architectural2"/>
      <sheetName val="#9374.00 L &amp; L Builders"/>
      <sheetName val="#9374.00 DCI Group (2)"/>
      <sheetName val="RECAP #9375.00"/>
      <sheetName val="#9375.00 Funds Rec'd"/>
      <sheetName val="#9375.00 Samuels Group"/>
      <sheetName val="#9375.00 PM TIME"/>
      <sheetName val="#9375.00 Misc"/>
      <sheetName val="#9375.00 OPN Architects"/>
      <sheetName val="#9375.00 The Samuels Group (2)"/>
      <sheetName val="#9375.00 OPN Architects (2)"/>
      <sheetName val="#9375.00 For Sure Roofing"/>
      <sheetName val="#9375.00 Samuels Group (3)"/>
      <sheetName val="#9375.00 Samuels Group (4)"/>
      <sheetName val="#9375.00 Azcon Inc"/>
      <sheetName val="RECAP #9377.00"/>
      <sheetName val="#9377.00 Funds Rec'd "/>
      <sheetName val="#9377.00 McGough Construction"/>
      <sheetName val="#9377.00 PM TIME"/>
      <sheetName val="#9377.00 Misc"/>
      <sheetName val="#9377.00 West Plains"/>
      <sheetName val="#9377.00 SystemWorks"/>
      <sheetName val="#9377.00 West Plains Engineerin"/>
      <sheetName val="#9377.00 Colony HVAC"/>
      <sheetName val="#9377.00 McGough Constructi (2)"/>
      <sheetName val="RECAP #9378.00"/>
      <sheetName val="#9378.00 Funds Rec'd"/>
      <sheetName val="#9378.00 Horizon Architecture"/>
      <sheetName val="#9378.00 PM TIME"/>
      <sheetName val="#9378.00 Misc "/>
      <sheetName val="#9378.00 McGough Construction"/>
      <sheetName val="#9378.00 McGough Constructi (2)"/>
      <sheetName val="#9378.00 Garling Construction"/>
      <sheetName val="#9378.00 SystemWorks"/>
      <sheetName val="RECAP #9381.00"/>
      <sheetName val="#9381.00 Funds Rec'd"/>
      <sheetName val="#9381.00 Samuels Group #150CA"/>
      <sheetName val="#9381.00 PM TIME"/>
      <sheetName val="#9381.00 Misc"/>
      <sheetName val="#9381.00 Downs Electric Inc."/>
      <sheetName val="#9381.00 Morrissey Engineering"/>
      <sheetName val="RECAP #9382.00"/>
      <sheetName val="#9382.00 Funds Rec'd"/>
      <sheetName val="#9382.00 Terracon Consultants"/>
      <sheetName val="#9382.00 PM TIME"/>
      <sheetName val="#9382.00 Misc"/>
      <sheetName val="#9382.00 Controlled Asbestos"/>
      <sheetName val="RECAP #9383.00"/>
      <sheetName val="#9383.00 Funds Rec'd "/>
      <sheetName val="#9383.00 Samuels Group  "/>
      <sheetName val="#9383.00 PM TIME "/>
      <sheetName val="#9383.00 Misc "/>
      <sheetName val="#9383.00 Horizon Architecture"/>
      <sheetName val="#9383.00 Samuels Group"/>
      <sheetName val="#9383.00 Schickedanz Constr"/>
      <sheetName val="RECAP #9384.00"/>
      <sheetName val="#9384.00 Funds Rec'd "/>
      <sheetName val="#9384.00 Boyd Jones"/>
      <sheetName val="#9384.00 PM TIME "/>
      <sheetName val="#9384.00 Misc"/>
      <sheetName val="#9384.00 Horizon Architecture"/>
      <sheetName val="RECAP #9385.00"/>
      <sheetName val="#9385.00 Funds Rec'd"/>
      <sheetName val="#9385.00 Boyd Jones"/>
      <sheetName val="#9385.00 PM TIME "/>
      <sheetName val="#9385.00 Misc"/>
      <sheetName val="#9385.00 Horizon Architecture"/>
      <sheetName val="#9385.00 Steege Construction"/>
      <sheetName val="#9385.00 Boyd Jones (2)"/>
      <sheetName val="RECAP #9398.00"/>
      <sheetName val="#9398.00 Funds Rec'd  "/>
      <sheetName val="#9398.00 Samuels Group"/>
      <sheetName val="#9398.00 PM TIME "/>
      <sheetName val="#9398.00 Misc"/>
      <sheetName val="#9398.00 MSA Professional Serv."/>
      <sheetName val="RECAP #9399.00"/>
      <sheetName val="#9399.00 Funds Rec'd "/>
      <sheetName val="#9399.00 Genesis Architectural"/>
      <sheetName val="#9399.00 PM TIME "/>
      <sheetName val="#9399.00 Misc "/>
      <sheetName val="RECAP #9400.00"/>
      <sheetName val="#9400.00 Funds Rec'd "/>
      <sheetName val="#9400.00 Samuels Group #159PC"/>
      <sheetName val="#9400.00 PM TIME "/>
      <sheetName val="#9400.00 Misc"/>
      <sheetName val="#9400.00 Shive Hattery"/>
      <sheetName val="RECAP #9401.00"/>
      <sheetName val="#9401.00 Funds Rec'd"/>
      <sheetName val="#9401.00 Boyd Jones"/>
      <sheetName val="#9401.00 PM TIME"/>
      <sheetName val="#9401.00 Misc"/>
      <sheetName val="#9401.00 CMB Architects"/>
      <sheetName val="#9401.00 Boyd Jones (2)"/>
      <sheetName val="#9401.00 SCH Ventures"/>
      <sheetName val="RECAP #9402.00"/>
      <sheetName val="#9402.00 Funds Rec'd"/>
      <sheetName val="#9402.00 Samuels Group"/>
      <sheetName val="#9402.00 PM TIME"/>
      <sheetName val="#9402.00 Misc"/>
      <sheetName val="#9402.00 Morrissey Engineering"/>
      <sheetName val="RECAP #9403.00"/>
      <sheetName val="#9403.00 Funds Rec'd"/>
      <sheetName val="#9403.00 DCI Group"/>
      <sheetName val="#9403.00 PM TIME"/>
      <sheetName val="#9403.00 Misc"/>
      <sheetName val="#9403.00 Architectural Arts"/>
      <sheetName val="#9403.00 Ideacom Mid-America"/>
      <sheetName val="#9403.00 Baker Electric"/>
      <sheetName val="#9403.00 Waldinger Corp"/>
      <sheetName val="#9403.00 Commercial Shading"/>
      <sheetName val="RECAP #9404.00"/>
      <sheetName val="#9404.00 Funds Rec'd"/>
      <sheetName val="#9404.00 Vendor A"/>
      <sheetName val="#9404.00 PM TIME"/>
      <sheetName val="#9404.00 Misc"/>
      <sheetName val="RECAP #9405.00"/>
      <sheetName val="#9405.00 Funds Rec'd"/>
      <sheetName val="#9405.00 DCI Group"/>
      <sheetName val="#9405.00 PM TIME"/>
      <sheetName val="#9405.00 Misc"/>
      <sheetName val="#9405.00 Horizon Architecture"/>
      <sheetName val="#9405.00 TMJ Construction"/>
      <sheetName val="#9405.00 Egde Commercial"/>
      <sheetName val="#9405.00 DCI Group #24-013 CA"/>
      <sheetName val="RECAP #9406.00"/>
      <sheetName val="#9406.00 Funds Rec'd"/>
      <sheetName val="#9406.00 Vendor A"/>
      <sheetName val="#9406.00 PM TIME"/>
      <sheetName val="#9406.00 Misc"/>
      <sheetName val="RECAP #9412.00"/>
      <sheetName val="#9412.00 Funds Rec'd   "/>
      <sheetName val="#9412.00 DCI Group"/>
      <sheetName val="#9412.00 PM TIME  "/>
      <sheetName val="#9412.00 Misc"/>
      <sheetName val="#9412.00 MA Architecture"/>
      <sheetName val="#9412.00 Bergstrom Construction"/>
      <sheetName val="#9412.00 DCI Group (2)"/>
      <sheetName val="#9412.00 Siemens Industry"/>
      <sheetName val="#9412.00 Proctor Mechanical"/>
      <sheetName val="#9412.00 Johnson Controls "/>
      <sheetName val="#9412.00 Walsh Doors"/>
      <sheetName val="#9412.00 Commonwealth Electric"/>
      <sheetName val="#9412.00 Johnson Controls (2)"/>
      <sheetName val="RECAP #9414.00"/>
      <sheetName val="#9414.00 Funds Rec'd "/>
      <sheetName val="#9414.00 DCI Group #22-018 PC"/>
      <sheetName val="#9414.00 PM TIME"/>
      <sheetName val="#9414.00 Misc "/>
      <sheetName val="#9414.00 SVPA Architects"/>
      <sheetName val="#9414.00 DCI Group #24-018  (2)"/>
      <sheetName val="#9414.00 PAR Industries"/>
      <sheetName val="#9414.00 Pleva Plumbing"/>
      <sheetName val="#9414.00 Eick &amp; Day "/>
      <sheetName val="#9414.00 Elite Fire Sprinkler"/>
      <sheetName val="RECAP #9423.00"/>
      <sheetName val="#9423.00 Funds Rec'd "/>
      <sheetName val="#9423.00 DCI Group"/>
      <sheetName val="#9423.00 PM TIME  "/>
      <sheetName val="#9423.00 Misc "/>
      <sheetName val="#9423.00 OPN Architects"/>
      <sheetName val="#9423.00 Keystone Construction "/>
      <sheetName val="#9423.00 TriCity Electric"/>
      <sheetName val="#9423.00 AirCon Mechanical"/>
      <sheetName val="#9423.00 Eick &amp; Day Construct"/>
      <sheetName val="#9423.00 DCI Group (2)"/>
      <sheetName val="RECAP #9424.00"/>
      <sheetName val="#9424.00 Funds Rec'd"/>
      <sheetName val="#9424.00 McGough Construction"/>
      <sheetName val="#9424.00 PM TIME "/>
      <sheetName val="#9424.00 Misc "/>
      <sheetName val="RECAP #9425.00"/>
      <sheetName val="#9425.00 Funds Rec'd"/>
      <sheetName val="#9425.00 ATC Group Services"/>
      <sheetName val="#9425.00 PM TIME "/>
      <sheetName val="#9425.00 Misc"/>
      <sheetName val="#XXXX.XX Funds Rec'd Incorrectl"/>
      <sheetName val="RECAP #XXXX.XX"/>
      <sheetName val="#XXXX.XX Funds Rec'd"/>
      <sheetName val="#XXXX.XX Vendor A "/>
      <sheetName val="#XXXX.XX PM TIME "/>
      <sheetName val="#XXXX.XX Mis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3">
          <cell r="F23">
            <v>992268.58000000007</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23">
          <cell r="D23">
            <v>19930</v>
          </cell>
          <cell r="F23">
            <v>19930</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9465.00 Samuels Group"/>
      <sheetName val="#9465.00 Horizon Architectu (2)"/>
      <sheetName val="#9465.00 Spectra Build LLC"/>
      <sheetName val="RECAP #9533.00"/>
      <sheetName val="#9533.00 Baker Group"/>
      <sheetName val="#9533.00 PM TIME"/>
      <sheetName val="#9533.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8">
          <cell r="D28">
            <v>770378.71000000008</v>
          </cell>
          <cell r="F28">
            <v>770378.71</v>
          </cell>
          <cell r="H28">
            <v>0</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9386.01 McGough Constr (4)"/>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9525.00"/>
      <sheetName val="#9525.00 Boyd Jones"/>
      <sheetName val="#9525.00 PM Time "/>
      <sheetName val="#9525.00 Misc "/>
      <sheetName val="RECAP #9536.00"/>
      <sheetName val="#9536.00 DCI Group"/>
      <sheetName val="#9536.00 PM Time"/>
      <sheetName val="#9536.00 Misc"/>
      <sheetName val="#9536.00 Shive Hattery"/>
      <sheetName val="RECAP #9537.00"/>
      <sheetName val="#9537.00 DCI Group"/>
      <sheetName val="#9537.00 PM Time"/>
      <sheetName val="#9537.00 Misc"/>
      <sheetName val="#9537.00 Shive Hattery"/>
      <sheetName val="RECAP #9541.00"/>
      <sheetName val="#9541.00 Samuels Group"/>
      <sheetName val="#9541.00 PM Time"/>
      <sheetName val="#9541.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3">
          <cell r="D23">
            <v>255172</v>
          </cell>
          <cell r="F23">
            <v>255172.00000000003</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sheetName val="RECAP #9279.50"/>
      <sheetName val="#9279.50 Funds Rec'd"/>
      <sheetName val="#9279.50 Shive Hattery"/>
      <sheetName val="#9279.50 PM TIME"/>
      <sheetName val="#9279.50 Misc"/>
      <sheetName val="#9279.50 StoryConstruction"/>
      <sheetName val="#9279.50 ATC Group"/>
      <sheetName val="RECAP #9438.00"/>
      <sheetName val="#9438.00 Funds Rec'd"/>
      <sheetName val="#9438.00 Jasper Construction"/>
      <sheetName val="#9438.00 PM TIME"/>
      <sheetName val="#9438.00 Misc"/>
      <sheetName val="RECAP #9471.00"/>
      <sheetName val="#9471.00 Funds Rec'd "/>
      <sheetName val="#9471.00 MidState Plumbing"/>
      <sheetName val="#9471.00 PM TIME"/>
      <sheetName val="#9471.00 Misc"/>
      <sheetName val="RECAP #9476.01"/>
      <sheetName val="#9476.01 Funds Rec'd"/>
      <sheetName val="#9476.01 McGough Construction"/>
      <sheetName val="#9476.01 PM TIME"/>
      <sheetName val="#9476.01 Misc"/>
      <sheetName val="#9476.01 HGM Associates"/>
      <sheetName val="RECAP #9480.01"/>
      <sheetName val="#9480.01 Funds Rec'd "/>
      <sheetName val="#9480.01 TB Rigid Edge Exterior"/>
      <sheetName val="#9480.01 PM TIME "/>
      <sheetName val="#9480.01 Misc "/>
      <sheetName val="#9480.01 Genesis Architectural"/>
      <sheetName val="#9480.01 McGough Construction"/>
      <sheetName val="#9480.01 Hilsabeck Schacht"/>
      <sheetName val="#9480.01 MTS Contracting"/>
      <sheetName val="#9480.01 Kinzler Construction"/>
      <sheetName val="RECAP #9481.00"/>
      <sheetName val="#9481.00 Funds Rec'd "/>
      <sheetName val="#9481.00 Vendor A "/>
      <sheetName val="#9481.00 PM TIME "/>
      <sheetName val="#9481.00 Misc"/>
      <sheetName val="RECAP #9482.00"/>
      <sheetName val="#9482.00 Funds Rec'd"/>
      <sheetName val="#9482.00 McGough Construction"/>
      <sheetName val="#9482.00 PM TIME"/>
      <sheetName val="#9482.00 Misc"/>
      <sheetName val="#9482.00 KCL Engineering"/>
      <sheetName val="#9482.00 Systems Management"/>
      <sheetName val="#9482.00 McGough Constructi (2)"/>
      <sheetName val="#9482.00 Air-Con Mechanical"/>
      <sheetName val="RECAP #9486.00"/>
      <sheetName val="#9486.00 Funds Rec'd"/>
      <sheetName val="#9486.00 DCI Group"/>
      <sheetName val="#9486.00 PM TIME"/>
      <sheetName val="#9486.00 Misc"/>
      <sheetName val="#9486.00 Ralph N Smith Flooring"/>
      <sheetName val="#9486.00 DCI Group (2)"/>
      <sheetName val="RECAP #9486.01"/>
      <sheetName val="#9486.01 Funds Rec'd"/>
      <sheetName val="#9486.01 Horizon Architecture"/>
      <sheetName val="#9486.01 PM TIME"/>
      <sheetName val="#9486.01 Misc "/>
      <sheetName val="RECAP #9487.00"/>
      <sheetName val="#9487.00 Funds Rec'd"/>
      <sheetName val="#9487.00 DCI Group"/>
      <sheetName val="#9487.00 PM TIME"/>
      <sheetName val="#9487.00 Misc"/>
      <sheetName val="#9487.00 Genesis Architectural"/>
      <sheetName val="#9487.00 Genesis Architectu (2)"/>
      <sheetName val="#9487.00 Genesis Architectu (3)"/>
      <sheetName val="RECAP #9488.00"/>
      <sheetName val="#9488.00 Funds Rec'd "/>
      <sheetName val="#9488.00 Samuels Group"/>
      <sheetName val="#9488.00 PM TIME"/>
      <sheetName val="#9488.00 Misc"/>
      <sheetName val="#9488.00 SVPA Architects"/>
      <sheetName val="RECAP #9489.00"/>
      <sheetName val="#9489.00 Funds Rec'd"/>
      <sheetName val="#9489.00 McGough Construction"/>
      <sheetName val="#9489.00 PM TIME"/>
      <sheetName val="#9489.00 Misc"/>
      <sheetName val="RECAP #9490.00"/>
      <sheetName val="#9490.00 Funds Rec'd "/>
      <sheetName val="#9490.00 Vendor A "/>
      <sheetName val="#9490.00 PM TIME"/>
      <sheetName val="#9490.00 Misc "/>
      <sheetName val="RECAP #9492.00"/>
      <sheetName val="#9492.00 Funds Rec'd"/>
      <sheetName val="#9492.00 Samuels Group"/>
      <sheetName val="#9492.00 PM TIME"/>
      <sheetName val="#9492.00 Misc"/>
      <sheetName val="#9492.00 Quick Enterprise LLC"/>
      <sheetName val="RECAP #9515.00"/>
      <sheetName val="#9515.00 Funds Rec'd"/>
      <sheetName val="#9515.00 Vendor A "/>
      <sheetName val="#9515.00 PM TIME "/>
      <sheetName val="#9515.00 Misc "/>
      <sheetName val="RECAP #9516.00"/>
      <sheetName val="#9516.00 Funds Rec'd"/>
      <sheetName val="#9516.00 DCI Group"/>
      <sheetName val="#9516.00 PM TIME"/>
      <sheetName val="#9516.00 Misc"/>
      <sheetName val="RECAP #9517.00"/>
      <sheetName val="#9517.00 Funds Rec'd "/>
      <sheetName val="#9517.00 DCI Group"/>
      <sheetName val="#9517.00 PM TIME"/>
      <sheetName val="#9517.00 Misc"/>
      <sheetName val="#9517.00 Shive Hattery"/>
      <sheetName val="RECAP #9532.00"/>
      <sheetName val="#9532.00 Funds Rec'd"/>
      <sheetName val="#9532.00 McGough Construction"/>
      <sheetName val="#9532.00 PM TIME"/>
      <sheetName val="#9532.00 Misc"/>
      <sheetName val="#9532.00 OPN Architects"/>
      <sheetName val="RECAP #9534.00"/>
      <sheetName val="#9534.00 Funds Rec'd"/>
      <sheetName val="#9534.00 Samuels Group"/>
      <sheetName val="#9534.00 PM TIME"/>
      <sheetName val="#9534.00 Misc"/>
      <sheetName val="#9534.00 10Fold Architecture"/>
      <sheetName val="RECAP #9535.00"/>
      <sheetName val="#9535.00 Funds Rec'd"/>
      <sheetName val="#9535.00 Story Construction"/>
      <sheetName val="#9535.00 PM TIME"/>
      <sheetName val="#9535.00 Misc"/>
      <sheetName val="RECAP #9540.00"/>
      <sheetName val="#9540.00 Funds Rec'd"/>
      <sheetName val="#9540.00 Vendor A "/>
      <sheetName val="#9540.00 PM TIME"/>
      <sheetName val="#9540.00 Misc"/>
      <sheetName val=" Funds Rec'd incorrectly"/>
      <sheetName val="RECAP #XXXX.XX"/>
      <sheetName val="#XXXX.XX Funds Rec'd"/>
      <sheetName val="#XXXX.XX Vendor A "/>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3">
          <cell r="D23">
            <v>16700</v>
          </cell>
          <cell r="F23">
            <v>13950</v>
          </cell>
          <cell r="H23">
            <v>2750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K52"/>
  <sheetViews>
    <sheetView tabSelected="1" topLeftCell="A2" zoomScaleNormal="100" workbookViewId="0">
      <selection activeCell="C38" sqref="C38"/>
    </sheetView>
  </sheetViews>
  <sheetFormatPr defaultColWidth="11.42578125" defaultRowHeight="15" customHeight="1" x14ac:dyDescent="0.25"/>
  <cols>
    <col min="1" max="1" width="3.42578125" bestFit="1" customWidth="1"/>
    <col min="2" max="2" width="9.5703125" customWidth="1"/>
    <col min="3" max="3" width="66"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s>
  <sheetData>
    <row r="1" spans="1:11" x14ac:dyDescent="0.25">
      <c r="A1" s="1" t="s">
        <v>16</v>
      </c>
      <c r="B1" s="32"/>
      <c r="C1" s="33" t="s">
        <v>3</v>
      </c>
      <c r="D1" s="4"/>
      <c r="E1" s="34" t="s">
        <v>3</v>
      </c>
      <c r="F1" s="34"/>
      <c r="G1" s="34"/>
      <c r="H1" s="3"/>
      <c r="I1" s="3"/>
      <c r="J1" s="35"/>
      <c r="K1" s="35"/>
    </row>
    <row r="2" spans="1:11" ht="54" customHeight="1" thickBot="1" x14ac:dyDescent="0.3">
      <c r="A2" s="36" t="s">
        <v>17</v>
      </c>
      <c r="B2" s="37" t="s">
        <v>15</v>
      </c>
      <c r="C2" s="38" t="s">
        <v>18</v>
      </c>
      <c r="D2" s="39" t="s">
        <v>19</v>
      </c>
      <c r="E2" s="39" t="s">
        <v>20</v>
      </c>
      <c r="F2" s="39" t="s">
        <v>21</v>
      </c>
      <c r="G2" s="39" t="s">
        <v>22</v>
      </c>
      <c r="H2" s="39" t="s">
        <v>23</v>
      </c>
      <c r="I2" s="39" t="s">
        <v>24</v>
      </c>
      <c r="J2" s="39" t="s">
        <v>25</v>
      </c>
      <c r="K2" s="39" t="s">
        <v>26</v>
      </c>
    </row>
    <row r="3" spans="1:11" x14ac:dyDescent="0.25">
      <c r="A3" s="40"/>
      <c r="B3" s="41"/>
      <c r="C3" s="42" t="s">
        <v>27</v>
      </c>
      <c r="D3" s="43">
        <f>F48</f>
        <v>53923752.159999989</v>
      </c>
      <c r="E3" s="2"/>
      <c r="F3" s="2"/>
      <c r="G3" s="2"/>
      <c r="H3" s="2"/>
      <c r="I3" s="3"/>
      <c r="J3" s="35"/>
      <c r="K3" s="35"/>
    </row>
    <row r="4" spans="1:11" x14ac:dyDescent="0.25">
      <c r="A4" s="40"/>
      <c r="B4" s="41"/>
      <c r="C4" s="42" t="s">
        <v>28</v>
      </c>
      <c r="D4" s="4"/>
      <c r="E4" s="2"/>
      <c r="F4" s="2"/>
      <c r="G4" s="2"/>
      <c r="H4" s="2"/>
      <c r="I4" s="3"/>
      <c r="J4" s="35"/>
      <c r="K4" s="35"/>
    </row>
    <row r="5" spans="1:11" x14ac:dyDescent="0.25">
      <c r="A5" s="40"/>
      <c r="B5" s="41"/>
      <c r="C5" s="42" t="s">
        <v>29</v>
      </c>
      <c r="D5" s="4"/>
      <c r="E5" s="44">
        <v>0</v>
      </c>
      <c r="F5" s="2"/>
      <c r="G5" s="2"/>
      <c r="H5" s="2"/>
      <c r="I5" s="3"/>
      <c r="J5" s="35"/>
      <c r="K5" s="35"/>
    </row>
    <row r="6" spans="1:11" ht="15.75" thickBot="1" x14ac:dyDescent="0.3">
      <c r="A6" s="40"/>
      <c r="B6" s="41"/>
      <c r="C6" s="42" t="s">
        <v>30</v>
      </c>
      <c r="D6" s="4"/>
      <c r="E6" s="45">
        <f>D3+D4-E5</f>
        <v>53923752.159999989</v>
      </c>
      <c r="F6" s="2"/>
      <c r="G6" s="2"/>
      <c r="H6" s="2"/>
      <c r="I6" s="3"/>
      <c r="J6" s="35"/>
      <c r="K6" s="35"/>
    </row>
    <row r="7" spans="1:11" ht="16.5" thickTop="1" thickBot="1" x14ac:dyDescent="0.3">
      <c r="A7" s="40"/>
      <c r="B7" s="41"/>
      <c r="C7" s="42" t="s">
        <v>31</v>
      </c>
      <c r="D7" s="4"/>
      <c r="E7" s="46">
        <f>H48</f>
        <v>45044423.089999989</v>
      </c>
      <c r="F7" s="2"/>
      <c r="G7" s="2"/>
      <c r="H7" s="2"/>
      <c r="I7" s="3"/>
      <c r="J7" s="35"/>
      <c r="K7" s="35"/>
    </row>
    <row r="8" spans="1:11" ht="15.75" thickBot="1" x14ac:dyDescent="0.3">
      <c r="A8" s="40"/>
      <c r="B8" s="41"/>
      <c r="C8" s="42" t="s">
        <v>32</v>
      </c>
      <c r="D8" s="4"/>
      <c r="E8" s="47">
        <f>E6-E7</f>
        <v>8879329.0700000003</v>
      </c>
      <c r="F8" s="2"/>
      <c r="G8" s="2"/>
      <c r="H8" s="2"/>
      <c r="I8" s="3"/>
      <c r="J8" s="35"/>
      <c r="K8" s="35"/>
    </row>
    <row r="9" spans="1:11" x14ac:dyDescent="0.25">
      <c r="A9" s="40"/>
      <c r="B9" s="41"/>
      <c r="C9" s="3"/>
      <c r="D9" s="4"/>
      <c r="E9" s="2"/>
      <c r="F9" s="2"/>
      <c r="G9" s="2"/>
      <c r="H9" s="2"/>
      <c r="I9" s="3"/>
      <c r="J9" s="35"/>
      <c r="K9" s="35"/>
    </row>
    <row r="10" spans="1:11" x14ac:dyDescent="0.25">
      <c r="A10" s="40"/>
      <c r="B10" s="41"/>
      <c r="C10" s="3"/>
      <c r="D10" s="4"/>
      <c r="E10" s="2"/>
      <c r="F10" s="2"/>
      <c r="G10" s="2"/>
      <c r="H10" s="2"/>
      <c r="I10" s="3"/>
      <c r="J10" s="35"/>
      <c r="K10" s="35"/>
    </row>
    <row r="11" spans="1:11" x14ac:dyDescent="0.25">
      <c r="A11" s="40"/>
      <c r="B11" s="41"/>
      <c r="C11" s="3"/>
      <c r="D11" s="4"/>
      <c r="E11" s="2"/>
      <c r="F11" s="2"/>
      <c r="G11" s="2"/>
      <c r="H11" s="2"/>
      <c r="I11" s="3"/>
      <c r="J11" s="35"/>
      <c r="K11" s="35"/>
    </row>
    <row r="12" spans="1:11" x14ac:dyDescent="0.25">
      <c r="A12" s="48"/>
      <c r="B12" s="49"/>
      <c r="C12" s="50" t="s">
        <v>62</v>
      </c>
      <c r="D12" s="51"/>
      <c r="E12" s="52"/>
      <c r="F12" s="52"/>
      <c r="G12" s="52"/>
      <c r="H12" s="52"/>
      <c r="I12" s="52"/>
      <c r="J12" s="53"/>
      <c r="K12" s="53"/>
    </row>
    <row r="13" spans="1:11" ht="23.25" x14ac:dyDescent="0.25">
      <c r="A13" s="54"/>
      <c r="B13" s="55"/>
      <c r="C13" s="56"/>
      <c r="D13" s="57"/>
      <c r="E13" s="58" t="s">
        <v>33</v>
      </c>
      <c r="F13" s="59" t="s">
        <v>34</v>
      </c>
      <c r="G13" s="59" t="s">
        <v>35</v>
      </c>
      <c r="H13" s="59" t="s">
        <v>34</v>
      </c>
      <c r="I13" s="59" t="s">
        <v>34</v>
      </c>
      <c r="J13" s="59" t="s">
        <v>34</v>
      </c>
      <c r="K13" s="59" t="s">
        <v>34</v>
      </c>
    </row>
    <row r="14" spans="1:11" s="330" customFormat="1" ht="12.75" customHeight="1" x14ac:dyDescent="0.25">
      <c r="A14" s="430"/>
      <c r="B14" s="431" t="s">
        <v>371</v>
      </c>
      <c r="C14" s="432" t="s">
        <v>1319</v>
      </c>
      <c r="D14" s="433" t="s">
        <v>367</v>
      </c>
      <c r="E14" s="434">
        <v>0</v>
      </c>
      <c r="F14" s="435">
        <f>'RECAP #9239.02'!C23</f>
        <v>3700000</v>
      </c>
      <c r="G14" s="435">
        <f>E14+F14</f>
        <v>3700000</v>
      </c>
      <c r="H14" s="435">
        <f>'RECAP #9239.02'!D23</f>
        <v>3661855.67</v>
      </c>
      <c r="I14" s="435">
        <f>'RECAP #9239.02'!E23</f>
        <v>2146119.44</v>
      </c>
      <c r="J14" s="435">
        <f>'RECAP #9239.02'!F23</f>
        <v>1515736.23</v>
      </c>
      <c r="K14" s="435">
        <f>'RECAP #9239.02'!G23</f>
        <v>38144.330000000075</v>
      </c>
    </row>
    <row r="15" spans="1:11" s="330" customFormat="1" ht="12.75" customHeight="1" x14ac:dyDescent="0.25">
      <c r="A15" s="430"/>
      <c r="B15" s="431" t="s">
        <v>604</v>
      </c>
      <c r="C15" s="432" t="s">
        <v>606</v>
      </c>
      <c r="D15" s="433" t="s">
        <v>367</v>
      </c>
      <c r="E15" s="434">
        <v>0</v>
      </c>
      <c r="F15" s="435">
        <f>'RECAP #9239.03'!C19</f>
        <v>650000</v>
      </c>
      <c r="G15" s="435">
        <f>E15+F15</f>
        <v>650000</v>
      </c>
      <c r="H15" s="435">
        <f>'RECAP #9239.03'!D19</f>
        <v>522512.25999999995</v>
      </c>
      <c r="I15" s="435">
        <f>'RECAP #9239.03'!E19</f>
        <v>404792.89999999997</v>
      </c>
      <c r="J15" s="435">
        <f>'RECAP #9239.03'!F19</f>
        <v>117719.35999999999</v>
      </c>
      <c r="K15" s="435">
        <f>'RECAP #9239.03'!G19</f>
        <v>127487.74000000005</v>
      </c>
    </row>
    <row r="16" spans="1:11" s="330" customFormat="1" ht="12.75" customHeight="1" x14ac:dyDescent="0.25">
      <c r="A16" s="430"/>
      <c r="B16" s="431" t="s">
        <v>67</v>
      </c>
      <c r="C16" s="432" t="s">
        <v>96</v>
      </c>
      <c r="D16" s="436" t="s">
        <v>72</v>
      </c>
      <c r="E16" s="434">
        <v>0</v>
      </c>
      <c r="F16" s="435">
        <f>'RECAP #9279.40'!C36</f>
        <v>14500067.359999999</v>
      </c>
      <c r="G16" s="435">
        <f t="shared" ref="G16:G34" si="0">E16+F16</f>
        <v>14500067.359999999</v>
      </c>
      <c r="H16" s="435">
        <f>'RECAP #9279.40'!D36</f>
        <v>8218736.7000000002</v>
      </c>
      <c r="I16" s="435">
        <f>'RECAP #9279.40'!E36</f>
        <v>5407206.1699999999</v>
      </c>
      <c r="J16" s="435">
        <f>'RECAP #9279.40'!F36</f>
        <v>2811530.5300000003</v>
      </c>
      <c r="K16" s="435">
        <f>'RECAP #9279.40'!G36</f>
        <v>6281330.6599999992</v>
      </c>
    </row>
    <row r="17" spans="1:11" s="330" customFormat="1" ht="12.75" customHeight="1" x14ac:dyDescent="0.25">
      <c r="A17" s="430"/>
      <c r="B17" s="431" t="s">
        <v>426</v>
      </c>
      <c r="C17" s="432" t="s">
        <v>427</v>
      </c>
      <c r="D17" s="436" t="s">
        <v>72</v>
      </c>
      <c r="E17" s="434">
        <v>0</v>
      </c>
      <c r="F17" s="435">
        <f>'RECAP #9279.41'!C15</f>
        <v>130000</v>
      </c>
      <c r="G17" s="435">
        <f t="shared" si="0"/>
        <v>130000</v>
      </c>
      <c r="H17" s="435">
        <f>'RECAP #9279.41'!D15</f>
        <v>129938.23999999999</v>
      </c>
      <c r="I17" s="435">
        <f>'RECAP #9279.41'!E15</f>
        <v>124069.55</v>
      </c>
      <c r="J17" s="435">
        <f>'RECAP #9279.41'!F15</f>
        <v>5868.6899999999878</v>
      </c>
      <c r="K17" s="435">
        <f>'RECAP #9279.41'!G15</f>
        <v>61.760000000009313</v>
      </c>
    </row>
    <row r="18" spans="1:11" s="330" customFormat="1" ht="12.75" customHeight="1" x14ac:dyDescent="0.25">
      <c r="A18" s="437" t="s">
        <v>170</v>
      </c>
      <c r="B18" s="431" t="s">
        <v>183</v>
      </c>
      <c r="C18" s="432" t="s">
        <v>182</v>
      </c>
      <c r="D18" s="436" t="s">
        <v>72</v>
      </c>
      <c r="E18" s="434">
        <v>0</v>
      </c>
      <c r="F18" s="435">
        <f>'RECAP #9294.00'!C14</f>
        <v>12790.78</v>
      </c>
      <c r="G18" s="435">
        <f t="shared" si="0"/>
        <v>12790.78</v>
      </c>
      <c r="H18" s="435">
        <f>'RECAP #9294.00'!D14</f>
        <v>12790.779999999999</v>
      </c>
      <c r="I18" s="435">
        <f>'RECAP #9294.00'!E14</f>
        <v>12790.78</v>
      </c>
      <c r="J18" s="438">
        <f>'RECAP #9294.00'!F14</f>
        <v>-1.8189894035458565E-12</v>
      </c>
      <c r="K18" s="435">
        <f>'RECAP #9294.00'!G14</f>
        <v>0</v>
      </c>
    </row>
    <row r="19" spans="1:11" s="330" customFormat="1" ht="12.75" customHeight="1" x14ac:dyDescent="0.25">
      <c r="A19" s="430"/>
      <c r="B19" s="431" t="s">
        <v>87</v>
      </c>
      <c r="C19" s="432" t="s">
        <v>88</v>
      </c>
      <c r="D19" s="436" t="s">
        <v>72</v>
      </c>
      <c r="E19" s="434">
        <v>0</v>
      </c>
      <c r="F19" s="435">
        <f>'RECAP #9358.01'!C16</f>
        <v>595000</v>
      </c>
      <c r="G19" s="435">
        <f t="shared" si="0"/>
        <v>595000</v>
      </c>
      <c r="H19" s="435">
        <f>'RECAP #9358.01'!D16</f>
        <v>567637.84</v>
      </c>
      <c r="I19" s="435">
        <f>'RECAP #9358.01'!E16</f>
        <v>563804.71000000008</v>
      </c>
      <c r="J19" s="435">
        <f>'RECAP #9358.01'!F16</f>
        <v>3833.1299999998882</v>
      </c>
      <c r="K19" s="435">
        <f>'RECAP #9358.01'!G16</f>
        <v>27362.160000000033</v>
      </c>
    </row>
    <row r="20" spans="1:11" s="330" customFormat="1" ht="12.75" customHeight="1" x14ac:dyDescent="0.25">
      <c r="A20" s="437" t="s">
        <v>170</v>
      </c>
      <c r="B20" s="431" t="s">
        <v>100</v>
      </c>
      <c r="C20" s="432" t="s">
        <v>97</v>
      </c>
      <c r="D20" s="436" t="s">
        <v>98</v>
      </c>
      <c r="E20" s="434">
        <v>0</v>
      </c>
      <c r="F20" s="435">
        <f>'RECAP #9360.01'!C17</f>
        <v>142460.45000000001</v>
      </c>
      <c r="G20" s="435">
        <f t="shared" si="0"/>
        <v>142460.45000000001</v>
      </c>
      <c r="H20" s="435">
        <f>'RECAP #9360.01'!D17</f>
        <v>142460.45000000001</v>
      </c>
      <c r="I20" s="435">
        <f>'RECAP #9360.01'!E17</f>
        <v>142460.45000000001</v>
      </c>
      <c r="J20" s="435">
        <f>'RECAP #9360.01'!F17</f>
        <v>0</v>
      </c>
      <c r="K20" s="435">
        <f>'RECAP #9360.01'!G17</f>
        <v>0</v>
      </c>
    </row>
    <row r="21" spans="1:11" s="330" customFormat="1" ht="12.75" customHeight="1" x14ac:dyDescent="0.25">
      <c r="A21" s="437" t="s">
        <v>170</v>
      </c>
      <c r="B21" s="431" t="s">
        <v>774</v>
      </c>
      <c r="C21" s="432" t="s">
        <v>775</v>
      </c>
      <c r="D21" s="436" t="s">
        <v>391</v>
      </c>
      <c r="E21" s="434">
        <v>0</v>
      </c>
      <c r="F21" s="435">
        <f>'RECAP #9366.00'!C14</f>
        <v>41634.050000000003</v>
      </c>
      <c r="G21" s="435">
        <f t="shared" si="0"/>
        <v>41634.050000000003</v>
      </c>
      <c r="H21" s="435">
        <f>'RECAP #9366.00'!D14</f>
        <v>41634.050000000003</v>
      </c>
      <c r="I21" s="435">
        <f>'RECAP #9366.00'!E14</f>
        <v>41634.050000000003</v>
      </c>
      <c r="J21" s="435">
        <f>'RECAP #9366.00'!F14</f>
        <v>0</v>
      </c>
      <c r="K21" s="435">
        <f>'RECAP #9366.00'!G14</f>
        <v>0</v>
      </c>
    </row>
    <row r="22" spans="1:11" s="330" customFormat="1" ht="12.75" customHeight="1" x14ac:dyDescent="0.25">
      <c r="A22" s="437" t="s">
        <v>170</v>
      </c>
      <c r="B22" s="431" t="s">
        <v>79</v>
      </c>
      <c r="C22" s="432" t="s">
        <v>75</v>
      </c>
      <c r="D22" s="436" t="s">
        <v>72</v>
      </c>
      <c r="E22" s="434">
        <v>0</v>
      </c>
      <c r="F22" s="435">
        <f>'RECAP #9424.00'!C16</f>
        <v>112934.75</v>
      </c>
      <c r="G22" s="435">
        <f t="shared" si="0"/>
        <v>112934.75</v>
      </c>
      <c r="H22" s="435">
        <f>'RECAP #9424.00'!D16</f>
        <v>112934.75</v>
      </c>
      <c r="I22" s="435">
        <f>'RECAP #9424.00'!E16</f>
        <v>112934.75</v>
      </c>
      <c r="J22" s="435">
        <f>'RECAP #9424.00'!F16</f>
        <v>0</v>
      </c>
      <c r="K22" s="435">
        <f>'RECAP #9424.00'!G16</f>
        <v>0</v>
      </c>
    </row>
    <row r="23" spans="1:11" s="330" customFormat="1" ht="12.75" customHeight="1" x14ac:dyDescent="0.25">
      <c r="A23" s="437" t="s">
        <v>170</v>
      </c>
      <c r="B23" s="431" t="s">
        <v>284</v>
      </c>
      <c r="C23" s="432" t="s">
        <v>285</v>
      </c>
      <c r="D23" s="436" t="s">
        <v>72</v>
      </c>
      <c r="E23" s="434">
        <v>0</v>
      </c>
      <c r="F23" s="435">
        <f>'RECAP #9425.01'!C17</f>
        <v>120684.88</v>
      </c>
      <c r="G23" s="435">
        <f t="shared" si="0"/>
        <v>120684.88</v>
      </c>
      <c r="H23" s="435">
        <f>'RECAP #9425.01'!D17</f>
        <v>120684.87999999999</v>
      </c>
      <c r="I23" s="435">
        <f>'RECAP #9425.01'!E17</f>
        <v>120684.88</v>
      </c>
      <c r="J23" s="439">
        <f>'RECAP #9425.01'!F17</f>
        <v>-1.4551915228366852E-11</v>
      </c>
      <c r="K23" s="435">
        <f>'RECAP #9425.01'!G17</f>
        <v>0</v>
      </c>
    </row>
    <row r="24" spans="1:11" s="330" customFormat="1" ht="12.75" customHeight="1" x14ac:dyDescent="0.25">
      <c r="A24" s="440"/>
      <c r="B24" s="431" t="s">
        <v>83</v>
      </c>
      <c r="C24" s="432" t="s">
        <v>80</v>
      </c>
      <c r="D24" s="436" t="s">
        <v>93</v>
      </c>
      <c r="E24" s="434">
        <v>0</v>
      </c>
      <c r="F24" s="435">
        <f>'RECAP #9429.00 '!C38</f>
        <v>33018000</v>
      </c>
      <c r="G24" s="435">
        <f t="shared" si="0"/>
        <v>33018000</v>
      </c>
      <c r="H24" s="435">
        <f>'RECAP #9429.00 '!D38</f>
        <v>30696455.109999999</v>
      </c>
      <c r="I24" s="435">
        <f>'RECAP #9429.00 '!E38</f>
        <v>2490940.7899999996</v>
      </c>
      <c r="J24" s="435">
        <f>'RECAP #9429.00 '!F38</f>
        <v>28205514.32</v>
      </c>
      <c r="K24" s="435">
        <f>'RECAP #9429.00 '!G38</f>
        <v>2321544.8900000006</v>
      </c>
    </row>
    <row r="25" spans="1:11" s="330" customFormat="1" ht="12.75" customHeight="1" x14ac:dyDescent="0.25">
      <c r="A25" s="437" t="s">
        <v>170</v>
      </c>
      <c r="B25" s="431" t="s">
        <v>137</v>
      </c>
      <c r="C25" s="432" t="s">
        <v>138</v>
      </c>
      <c r="D25" s="436" t="s">
        <v>72</v>
      </c>
      <c r="E25" s="434">
        <v>0</v>
      </c>
      <c r="F25" s="435">
        <f>'RECAP #9433.00'!C17</f>
        <v>192927.83000000002</v>
      </c>
      <c r="G25" s="435">
        <f t="shared" si="0"/>
        <v>192927.83000000002</v>
      </c>
      <c r="H25" s="435">
        <f>'RECAP #9433.00'!D17</f>
        <v>192927.83</v>
      </c>
      <c r="I25" s="435">
        <f>'RECAP #9433.00'!E17</f>
        <v>192927.83</v>
      </c>
      <c r="J25" s="435">
        <f>'RECAP #9433.00'!F17</f>
        <v>0</v>
      </c>
      <c r="K25" s="435">
        <f>'RECAP #9433.00'!G17</f>
        <v>0</v>
      </c>
    </row>
    <row r="26" spans="1:11" s="330" customFormat="1" ht="12.75" customHeight="1" x14ac:dyDescent="0.25">
      <c r="A26" s="430"/>
      <c r="B26" s="431" t="s">
        <v>390</v>
      </c>
      <c r="C26" s="432" t="s">
        <v>402</v>
      </c>
      <c r="D26" s="433" t="s">
        <v>391</v>
      </c>
      <c r="E26" s="434">
        <v>0</v>
      </c>
      <c r="F26" s="435">
        <f>'RECAP #9466.00'!C17</f>
        <v>405000</v>
      </c>
      <c r="G26" s="435">
        <f t="shared" si="0"/>
        <v>405000</v>
      </c>
      <c r="H26" s="435">
        <f>'RECAP #9466.00'!D17</f>
        <v>330365.21000000002</v>
      </c>
      <c r="I26" s="435">
        <f>'RECAP #9466.00'!E17</f>
        <v>75126.39</v>
      </c>
      <c r="J26" s="435">
        <f>'RECAP #9466.00'!F17</f>
        <v>255238.82</v>
      </c>
      <c r="K26" s="435">
        <f>'RECAP #9466.00'!G17</f>
        <v>74634.789999999979</v>
      </c>
    </row>
    <row r="27" spans="1:11" s="330" customFormat="1" ht="12.75" customHeight="1" x14ac:dyDescent="0.25">
      <c r="A27" s="437" t="s">
        <v>170</v>
      </c>
      <c r="B27" s="431" t="s">
        <v>463</v>
      </c>
      <c r="C27" s="432" t="s">
        <v>464</v>
      </c>
      <c r="D27" s="433" t="s">
        <v>391</v>
      </c>
      <c r="E27" s="434">
        <v>0</v>
      </c>
      <c r="F27" s="435">
        <f>'RECAP #9467.00'!C14</f>
        <v>15645.690000000002</v>
      </c>
      <c r="G27" s="435">
        <f t="shared" si="0"/>
        <v>15645.690000000002</v>
      </c>
      <c r="H27" s="435">
        <f>'RECAP #9467.00'!D14</f>
        <v>15645.69</v>
      </c>
      <c r="I27" s="435">
        <f>'RECAP #9467.00'!E14</f>
        <v>15645.689999999999</v>
      </c>
      <c r="J27" s="435">
        <f>'RECAP #9467.00'!F14</f>
        <v>1.8189894035458565E-12</v>
      </c>
      <c r="K27" s="435">
        <f>'RECAP #9467.00'!G14</f>
        <v>0</v>
      </c>
    </row>
    <row r="28" spans="1:11" s="330" customFormat="1" ht="12.75" customHeight="1" x14ac:dyDescent="0.25">
      <c r="A28" s="437" t="s">
        <v>170</v>
      </c>
      <c r="B28" s="431" t="s">
        <v>469</v>
      </c>
      <c r="C28" s="432" t="s">
        <v>480</v>
      </c>
      <c r="D28" s="433" t="s">
        <v>470</v>
      </c>
      <c r="E28" s="434">
        <v>0</v>
      </c>
      <c r="F28" s="435">
        <f>'RECAP #9468.00'!C14</f>
        <v>0</v>
      </c>
      <c r="G28" s="435">
        <f t="shared" si="0"/>
        <v>0</v>
      </c>
      <c r="H28" s="435">
        <f>'RECAP #9468.00'!D14</f>
        <v>0</v>
      </c>
      <c r="I28" s="435">
        <f>'RECAP #9468.00'!E14</f>
        <v>0</v>
      </c>
      <c r="J28" s="435">
        <f>'RECAP #9468.00'!F14</f>
        <v>0</v>
      </c>
      <c r="K28" s="435">
        <f>'RECAP #9468.00'!G14</f>
        <v>0</v>
      </c>
    </row>
    <row r="29" spans="1:11" s="330" customFormat="1" ht="12.75" customHeight="1" x14ac:dyDescent="0.25">
      <c r="A29" s="437" t="s">
        <v>170</v>
      </c>
      <c r="B29" s="431" t="s">
        <v>486</v>
      </c>
      <c r="C29" s="432" t="s">
        <v>487</v>
      </c>
      <c r="D29" s="436" t="s">
        <v>72</v>
      </c>
      <c r="E29" s="434">
        <v>0</v>
      </c>
      <c r="F29" s="435">
        <f>'RECAP #9470.00'!C14</f>
        <v>8629.61</v>
      </c>
      <c r="G29" s="435">
        <f t="shared" si="0"/>
        <v>8629.61</v>
      </c>
      <c r="H29" s="435">
        <f>'RECAP #9470.00'!D14</f>
        <v>8629.61</v>
      </c>
      <c r="I29" s="435">
        <f>'RECAP #9470.00'!E14</f>
        <v>8629.61</v>
      </c>
      <c r="J29" s="435">
        <f>'RECAP #9470.00'!F14</f>
        <v>0</v>
      </c>
      <c r="K29" s="435">
        <f>'RECAP #9470.00'!G14</f>
        <v>0</v>
      </c>
    </row>
    <row r="30" spans="1:11" s="330" customFormat="1" ht="12.75" customHeight="1" x14ac:dyDescent="0.25">
      <c r="A30" s="437" t="s">
        <v>170</v>
      </c>
      <c r="B30" s="441" t="s">
        <v>589</v>
      </c>
      <c r="C30" s="432" t="s">
        <v>607</v>
      </c>
      <c r="D30" s="435" t="s">
        <v>470</v>
      </c>
      <c r="E30" s="434">
        <v>0</v>
      </c>
      <c r="F30" s="435">
        <f>'RECAP #9472.00'!C14</f>
        <v>0</v>
      </c>
      <c r="G30" s="435">
        <f t="shared" si="0"/>
        <v>0</v>
      </c>
      <c r="H30" s="435">
        <f>'RECAP #9472.00'!D14</f>
        <v>0</v>
      </c>
      <c r="I30" s="435">
        <f>'RECAP #9472.00'!E14</f>
        <v>0</v>
      </c>
      <c r="J30" s="435">
        <f>'RECAP #9472.00'!F14</f>
        <v>0</v>
      </c>
      <c r="K30" s="435">
        <f>'RECAP #9472.00'!G14</f>
        <v>0</v>
      </c>
    </row>
    <row r="31" spans="1:11" s="330" customFormat="1" ht="12.75" customHeight="1" x14ac:dyDescent="0.25">
      <c r="A31" s="437" t="s">
        <v>170</v>
      </c>
      <c r="B31" s="441" t="s">
        <v>609</v>
      </c>
      <c r="C31" s="432" t="s">
        <v>608</v>
      </c>
      <c r="D31" s="435" t="s">
        <v>470</v>
      </c>
      <c r="E31" s="434">
        <v>0</v>
      </c>
      <c r="F31" s="435">
        <f>'RECAP #9473.00'!C14</f>
        <v>0</v>
      </c>
      <c r="G31" s="435">
        <f t="shared" si="0"/>
        <v>0</v>
      </c>
      <c r="H31" s="435">
        <f>'RECAP #9473.00'!D14</f>
        <v>0</v>
      </c>
      <c r="I31" s="435">
        <f>'RECAP #9473.00'!E14</f>
        <v>0</v>
      </c>
      <c r="J31" s="435">
        <f>'RECAP #9473.00'!F14</f>
        <v>0</v>
      </c>
      <c r="K31" s="435">
        <f>'RECAP #9473.00'!G14</f>
        <v>0</v>
      </c>
    </row>
    <row r="32" spans="1:11" s="330" customFormat="1" ht="12.75" customHeight="1" x14ac:dyDescent="0.25">
      <c r="A32" s="442"/>
      <c r="B32" s="60" t="s">
        <v>667</v>
      </c>
      <c r="C32" s="432" t="s">
        <v>668</v>
      </c>
      <c r="D32" s="433" t="s">
        <v>391</v>
      </c>
      <c r="E32" s="434">
        <v>0</v>
      </c>
      <c r="F32" s="435">
        <f>'RECAP #9475.00'!C18</f>
        <v>211000</v>
      </c>
      <c r="G32" s="435">
        <f t="shared" si="0"/>
        <v>211000</v>
      </c>
      <c r="H32" s="435">
        <f>'RECAP #9475.00'!D18</f>
        <v>202237.26</v>
      </c>
      <c r="I32" s="435">
        <f>'RECAP #9475.00'!E18</f>
        <v>50755.95</v>
      </c>
      <c r="J32" s="435">
        <f>'RECAP #9475.00'!F18</f>
        <v>151481.31</v>
      </c>
      <c r="K32" s="435">
        <f>'RECAP #9475.00'!G18</f>
        <v>8762.7399999999907</v>
      </c>
    </row>
    <row r="33" spans="1:11" s="330" customFormat="1" ht="12.75" customHeight="1" x14ac:dyDescent="0.25">
      <c r="A33" s="437" t="s">
        <v>170</v>
      </c>
      <c r="B33" s="431" t="s">
        <v>801</v>
      </c>
      <c r="C33" s="432" t="s">
        <v>802</v>
      </c>
      <c r="D33" s="436" t="s">
        <v>72</v>
      </c>
      <c r="E33" s="434">
        <v>0</v>
      </c>
      <c r="F33" s="435">
        <f>'RECAP #9476.00'!C15</f>
        <v>41976.760000000009</v>
      </c>
      <c r="G33" s="435">
        <f t="shared" si="0"/>
        <v>41976.760000000009</v>
      </c>
      <c r="H33" s="435">
        <f>'RECAP #9476.00'!D15</f>
        <v>41976.759999999995</v>
      </c>
      <c r="I33" s="435">
        <f>'RECAP #9476.00'!E15</f>
        <v>41976.76</v>
      </c>
      <c r="J33" s="438">
        <f>'RECAP #9476.00'!F15</f>
        <v>-7.2759576141834259E-12</v>
      </c>
      <c r="K33" s="435">
        <f>'RECAP #9476.00'!G15</f>
        <v>0</v>
      </c>
    </row>
    <row r="34" spans="1:11" s="330" customFormat="1" ht="12.75" customHeight="1" x14ac:dyDescent="0.25">
      <c r="A34" s="430"/>
      <c r="B34" s="431" t="s">
        <v>879</v>
      </c>
      <c r="C34" s="432" t="s">
        <v>880</v>
      </c>
      <c r="D34" s="436" t="s">
        <v>72</v>
      </c>
      <c r="E34" s="434">
        <v>0</v>
      </c>
      <c r="F34" s="435">
        <f>'RECAP #9480.00'!C15</f>
        <v>25000</v>
      </c>
      <c r="G34" s="435">
        <f t="shared" si="0"/>
        <v>25000</v>
      </c>
      <c r="H34" s="435">
        <f>'RECAP #9480.00'!D15</f>
        <v>25000</v>
      </c>
      <c r="I34" s="435">
        <f>'RECAP #9480.00'!E15</f>
        <v>25000</v>
      </c>
      <c r="J34" s="435">
        <f>'RECAP #9480.00'!F15</f>
        <v>0</v>
      </c>
      <c r="K34" s="435">
        <f>'RECAP #9480.00'!G15</f>
        <v>0</v>
      </c>
    </row>
    <row r="35" spans="1:11" s="330" customFormat="1" ht="12.75" customHeight="1" x14ac:dyDescent="0.25">
      <c r="A35" s="430"/>
      <c r="B35" s="431"/>
      <c r="C35" s="432"/>
      <c r="D35" s="433"/>
      <c r="E35" s="434"/>
      <c r="F35" s="435"/>
      <c r="G35" s="435"/>
      <c r="H35" s="435"/>
      <c r="I35" s="435"/>
      <c r="J35" s="435"/>
      <c r="K35" s="435"/>
    </row>
    <row r="36" spans="1:11" s="330" customFormat="1" ht="12.75" customHeight="1" x14ac:dyDescent="0.25">
      <c r="A36" s="430"/>
      <c r="B36" s="431"/>
      <c r="C36" s="432"/>
      <c r="D36" s="433"/>
      <c r="E36" s="434"/>
      <c r="F36" s="435"/>
      <c r="G36" s="435"/>
      <c r="H36" s="435"/>
      <c r="I36" s="435"/>
      <c r="J36" s="435"/>
      <c r="K36" s="435"/>
    </row>
    <row r="37" spans="1:11" s="330" customFormat="1" ht="12.75" customHeight="1" x14ac:dyDescent="0.25">
      <c r="A37" s="430"/>
      <c r="B37" s="431"/>
      <c r="C37" s="432"/>
      <c r="D37" s="433"/>
      <c r="E37" s="434"/>
      <c r="F37" s="435"/>
      <c r="G37" s="435"/>
      <c r="H37" s="435"/>
      <c r="I37" s="435"/>
      <c r="J37" s="435"/>
      <c r="K37" s="435"/>
    </row>
    <row r="38" spans="1:11" s="330" customFormat="1" ht="12.75" customHeight="1" x14ac:dyDescent="0.25">
      <c r="A38" s="430"/>
      <c r="B38" s="431"/>
      <c r="C38" s="432"/>
      <c r="D38" s="433"/>
      <c r="E38" s="434"/>
      <c r="F38" s="435"/>
      <c r="G38" s="435"/>
      <c r="H38" s="435"/>
      <c r="I38" s="435"/>
      <c r="J38" s="435"/>
      <c r="K38" s="435"/>
    </row>
    <row r="39" spans="1:11" s="330" customFormat="1" ht="12.75" customHeight="1" x14ac:dyDescent="0.25">
      <c r="A39" s="430"/>
      <c r="B39" s="431"/>
      <c r="C39" s="432"/>
      <c r="D39" s="433"/>
      <c r="E39" s="434"/>
      <c r="F39" s="435"/>
      <c r="G39" s="435"/>
      <c r="H39" s="435"/>
      <c r="I39" s="435"/>
      <c r="J39" s="435"/>
      <c r="K39" s="435"/>
    </row>
    <row r="40" spans="1:11" s="330" customFormat="1" ht="12.75" customHeight="1" x14ac:dyDescent="0.25">
      <c r="A40" s="437"/>
      <c r="B40" s="431"/>
      <c r="C40" s="432"/>
      <c r="D40" s="433"/>
      <c r="E40" s="434"/>
      <c r="F40" s="435"/>
      <c r="G40" s="435"/>
      <c r="H40" s="435"/>
      <c r="I40" s="435"/>
      <c r="J40" s="435"/>
      <c r="K40" s="435"/>
    </row>
    <row r="41" spans="1:11" s="330" customFormat="1" ht="12.75" customHeight="1" x14ac:dyDescent="0.25">
      <c r="A41" s="430"/>
      <c r="B41" s="431"/>
      <c r="C41" s="432"/>
      <c r="D41" s="433"/>
      <c r="E41" s="434"/>
      <c r="F41" s="435"/>
      <c r="G41" s="435"/>
      <c r="H41" s="435"/>
      <c r="I41" s="435"/>
      <c r="J41" s="435"/>
      <c r="K41" s="435"/>
    </row>
    <row r="42" spans="1:11" s="330" customFormat="1" ht="12.75" customHeight="1" x14ac:dyDescent="0.25">
      <c r="A42" s="430"/>
      <c r="B42" s="443"/>
      <c r="C42" s="432"/>
      <c r="D42" s="433"/>
      <c r="E42" s="434"/>
      <c r="F42" s="435"/>
      <c r="G42" s="435"/>
      <c r="H42" s="435"/>
      <c r="I42" s="435"/>
      <c r="J42" s="435"/>
      <c r="K42" s="435"/>
    </row>
    <row r="43" spans="1:11" s="330" customFormat="1" ht="12.75" customHeight="1" x14ac:dyDescent="0.25">
      <c r="A43" s="430"/>
      <c r="B43" s="443"/>
      <c r="C43" s="432"/>
      <c r="D43" s="433"/>
      <c r="E43" s="434"/>
      <c r="F43" s="435"/>
      <c r="G43" s="435"/>
      <c r="H43" s="435"/>
      <c r="I43" s="435"/>
      <c r="J43" s="435"/>
      <c r="K43" s="435"/>
    </row>
    <row r="44" spans="1:11" s="330" customFormat="1" ht="12.75" customHeight="1" x14ac:dyDescent="0.25">
      <c r="A44" s="430"/>
      <c r="B44" s="443"/>
      <c r="C44" s="432"/>
      <c r="D44" s="433"/>
      <c r="E44" s="434"/>
      <c r="F44" s="435"/>
      <c r="G44" s="435"/>
      <c r="H44" s="435"/>
      <c r="I44" s="435"/>
      <c r="J44" s="435"/>
      <c r="K44" s="435"/>
    </row>
    <row r="45" spans="1:11" s="330" customFormat="1" ht="12.75" customHeight="1" x14ac:dyDescent="0.25">
      <c r="A45" s="430"/>
      <c r="B45" s="443"/>
      <c r="C45" s="432"/>
      <c r="D45" s="433"/>
      <c r="E45" s="434"/>
      <c r="F45" s="435"/>
      <c r="G45" s="435"/>
      <c r="H45" s="435"/>
      <c r="I45" s="435"/>
      <c r="J45" s="435"/>
      <c r="K45" s="435"/>
    </row>
    <row r="46" spans="1:11" s="330" customFormat="1" ht="12.75" customHeight="1" x14ac:dyDescent="0.25">
      <c r="A46" s="430"/>
      <c r="B46" s="443"/>
      <c r="C46" s="432"/>
      <c r="D46" s="433"/>
      <c r="E46" s="434"/>
      <c r="F46" s="435"/>
      <c r="G46" s="435"/>
      <c r="H46" s="435"/>
      <c r="I46" s="435"/>
      <c r="J46" s="435"/>
      <c r="K46" s="435"/>
    </row>
    <row r="47" spans="1:11" ht="15" customHeight="1" x14ac:dyDescent="0.25">
      <c r="A47" s="54"/>
      <c r="B47" s="62"/>
      <c r="C47" s="61"/>
      <c r="D47" s="57"/>
      <c r="E47" s="63"/>
      <c r="F47" s="64"/>
      <c r="G47" s="64"/>
      <c r="H47" s="64"/>
      <c r="I47" s="64"/>
      <c r="J47" s="65"/>
      <c r="K47" s="65"/>
    </row>
    <row r="48" spans="1:11" ht="15.75" thickBot="1" x14ac:dyDescent="0.3">
      <c r="A48" s="348"/>
      <c r="B48" s="348"/>
      <c r="C48" s="347" t="s">
        <v>63</v>
      </c>
      <c r="D48" s="66"/>
      <c r="E48" s="67">
        <f>SUM(E33:E47)</f>
        <v>0</v>
      </c>
      <c r="F48" s="67">
        <f t="shared" ref="F48:K48" si="1">SUM(F13:F47)</f>
        <v>53923752.159999989</v>
      </c>
      <c r="G48" s="67">
        <f t="shared" si="1"/>
        <v>53923752.159999989</v>
      </c>
      <c r="H48" s="67">
        <f t="shared" si="1"/>
        <v>45044423.089999989</v>
      </c>
      <c r="I48" s="67">
        <f t="shared" si="1"/>
        <v>11977500.699999999</v>
      </c>
      <c r="J48" s="67">
        <f t="shared" si="1"/>
        <v>33066922.390000001</v>
      </c>
      <c r="K48" s="67">
        <f t="shared" si="1"/>
        <v>8879329.0699999984</v>
      </c>
    </row>
    <row r="49" spans="1:11" ht="16.5" thickTop="1" thickBot="1" x14ac:dyDescent="0.3">
      <c r="A49" s="349"/>
      <c r="B49" s="68"/>
      <c r="C49" s="69"/>
      <c r="D49" s="70"/>
      <c r="E49" s="71"/>
      <c r="F49" s="71"/>
      <c r="G49" s="71"/>
      <c r="H49" s="71"/>
      <c r="I49" s="71"/>
      <c r="J49" s="72"/>
      <c r="K49" s="72"/>
    </row>
    <row r="50" spans="1:11" x14ac:dyDescent="0.25">
      <c r="A50" s="40"/>
      <c r="B50" s="32"/>
      <c r="C50" s="1"/>
      <c r="D50" s="4"/>
      <c r="E50" s="73"/>
      <c r="F50" s="73"/>
      <c r="G50" s="73"/>
      <c r="H50" s="73"/>
      <c r="I50" s="73"/>
      <c r="J50" s="74"/>
      <c r="K50" s="74"/>
    </row>
    <row r="51" spans="1:11" ht="15.75" thickBot="1" x14ac:dyDescent="0.3">
      <c r="A51" s="40"/>
      <c r="B51" s="75"/>
      <c r="C51" s="5" t="s">
        <v>3</v>
      </c>
      <c r="D51" s="4"/>
      <c r="E51" s="73"/>
      <c r="F51" s="73"/>
      <c r="G51" s="73"/>
      <c r="H51" s="73"/>
      <c r="I51" s="73"/>
      <c r="J51" s="74"/>
      <c r="K51" s="76">
        <f>J48+K48</f>
        <v>41946251.460000001</v>
      </c>
    </row>
    <row r="52" spans="1:11" ht="15.75" thickTop="1" x14ac:dyDescent="0.25">
      <c r="A52" s="40"/>
      <c r="B52" s="32"/>
      <c r="C52" s="5" t="s">
        <v>3</v>
      </c>
      <c r="D52" s="4"/>
      <c r="E52" s="3"/>
      <c r="F52" s="3"/>
      <c r="G52" s="3"/>
      <c r="H52" s="3"/>
      <c r="I52" s="3"/>
      <c r="J52" s="35"/>
      <c r="K52" s="35"/>
    </row>
  </sheetData>
  <pageMargins left="0.25" right="0.25" top="0.75" bottom="0.75" header="0.3" footer="0.3"/>
  <pageSetup scale="64" orientation="landscape" r:id="rId1"/>
  <headerFooter alignWithMargins="0">
    <oddHeader>&amp;CDepartment of Administrative Services
MOU Project Improvements DA25
&amp;A
&amp;D</oddHeader>
    <oddFooter>&amp;LAcct Codes 0506-335-DA25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2C13-FFCD-4714-AFBD-10B6FD378AB4}">
  <sheetPr codeName="Sheet10">
    <pageSetUpPr fitToPage="1"/>
  </sheetPr>
  <dimension ref="A1:I27"/>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6" width="13.5703125" customWidth="1"/>
    <col min="7" max="7" width="12.140625" customWidth="1"/>
    <col min="8" max="8" width="13.85546875" customWidth="1"/>
    <col min="9" max="9" width="12.28515625" bestFit="1"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1194</v>
      </c>
      <c r="B4" s="126"/>
      <c r="C4" s="127"/>
      <c r="D4" s="128" t="s">
        <v>1195</v>
      </c>
      <c r="E4" s="124"/>
      <c r="F4" s="124"/>
      <c r="G4" s="124"/>
      <c r="H4" s="125"/>
      <c r="I4" s="125"/>
    </row>
    <row r="5" spans="1:9" ht="15.75" x14ac:dyDescent="0.25">
      <c r="A5" s="129" t="s">
        <v>109</v>
      </c>
      <c r="B5" s="130"/>
      <c r="C5" s="131"/>
      <c r="D5" s="132" t="s">
        <v>1196</v>
      </c>
      <c r="E5" s="133"/>
      <c r="F5" s="134"/>
      <c r="G5" s="134"/>
      <c r="H5" s="130"/>
      <c r="I5" s="125"/>
    </row>
    <row r="6" spans="1:9" ht="15.75" x14ac:dyDescent="0.25">
      <c r="A6" s="86" t="str">
        <f>'RECAP #9239.02'!B6</f>
        <v>Project Manager - Brad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1197</v>
      </c>
      <c r="B9" s="409">
        <v>45923</v>
      </c>
      <c r="C9" s="410" t="s">
        <v>107</v>
      </c>
      <c r="D9" s="411">
        <v>1547000</v>
      </c>
      <c r="E9" s="412">
        <f>D9</f>
        <v>1547000</v>
      </c>
      <c r="F9" s="413"/>
      <c r="G9" s="413"/>
      <c r="H9" s="413">
        <f>E9</f>
        <v>1547000</v>
      </c>
      <c r="I9" s="444"/>
    </row>
    <row r="10" spans="1:9" s="330" customFormat="1" ht="12.75" customHeight="1" x14ac:dyDescent="0.25">
      <c r="A10" s="408" t="s">
        <v>1493</v>
      </c>
      <c r="B10" s="240">
        <v>46038</v>
      </c>
      <c r="C10" s="410" t="s">
        <v>1494</v>
      </c>
      <c r="D10" s="411"/>
      <c r="E10" s="412">
        <f t="shared" ref="E10:E21" si="0">E9+D10</f>
        <v>1547000</v>
      </c>
      <c r="F10" s="445">
        <v>30894.5</v>
      </c>
      <c r="G10" s="413">
        <f t="shared" ref="G10:G21" si="1">G9+F10</f>
        <v>30894.5</v>
      </c>
      <c r="H10" s="413">
        <f t="shared" ref="H10:H21" si="2">H9-F10+D10</f>
        <v>1516105.5</v>
      </c>
      <c r="I10" s="446">
        <v>955.5</v>
      </c>
    </row>
    <row r="11" spans="1:9" s="330" customFormat="1" ht="12.75" customHeight="1" x14ac:dyDescent="0.25">
      <c r="A11" s="408" t="s">
        <v>1197</v>
      </c>
      <c r="B11" s="409">
        <v>46045</v>
      </c>
      <c r="C11" s="410" t="s">
        <v>301</v>
      </c>
      <c r="D11" s="411">
        <v>9076.56</v>
      </c>
      <c r="E11" s="412">
        <f t="shared" si="0"/>
        <v>1556076.56</v>
      </c>
      <c r="F11" s="422"/>
      <c r="G11" s="413">
        <f t="shared" si="1"/>
        <v>30894.5</v>
      </c>
      <c r="H11" s="413">
        <f t="shared" si="2"/>
        <v>1525182.06</v>
      </c>
      <c r="I11" s="444"/>
    </row>
    <row r="12" spans="1:9" s="330" customFormat="1" ht="12.75" customHeight="1" x14ac:dyDescent="0.25">
      <c r="A12" s="408" t="s">
        <v>1557</v>
      </c>
      <c r="B12" s="409">
        <v>46065</v>
      </c>
      <c r="C12" s="410" t="s">
        <v>1558</v>
      </c>
      <c r="D12" s="412"/>
      <c r="E12" s="412">
        <f t="shared" si="0"/>
        <v>1556076.56</v>
      </c>
      <c r="F12" s="445">
        <v>273274.96999999997</v>
      </c>
      <c r="G12" s="413">
        <f t="shared" si="1"/>
        <v>304169.46999999997</v>
      </c>
      <c r="H12" s="413">
        <f t="shared" si="2"/>
        <v>1251907.0900000001</v>
      </c>
      <c r="I12" s="482">
        <f>I10+8451.79</f>
        <v>9407.2900000000009</v>
      </c>
    </row>
    <row r="13" spans="1:9" s="330" customFormat="1" ht="12.75" customHeight="1" x14ac:dyDescent="0.25">
      <c r="A13" s="408" t="s">
        <v>1684</v>
      </c>
      <c r="B13" s="409">
        <v>46097</v>
      </c>
      <c r="C13" s="410" t="s">
        <v>1685</v>
      </c>
      <c r="D13" s="412"/>
      <c r="E13" s="412">
        <f t="shared" si="0"/>
        <v>1556076.56</v>
      </c>
      <c r="F13" s="445">
        <v>373060.68</v>
      </c>
      <c r="G13" s="413">
        <f t="shared" si="1"/>
        <v>677230.14999999991</v>
      </c>
      <c r="H13" s="413">
        <f t="shared" si="2"/>
        <v>878846.41000000015</v>
      </c>
      <c r="I13" s="482">
        <f>I12+11537.97</f>
        <v>20945.260000000002</v>
      </c>
    </row>
    <row r="14" spans="1:9" s="330" customFormat="1" ht="12.75" customHeight="1" x14ac:dyDescent="0.25">
      <c r="A14" s="408" t="s">
        <v>1197</v>
      </c>
      <c r="B14" s="409">
        <v>46126</v>
      </c>
      <c r="C14" s="410" t="s">
        <v>403</v>
      </c>
      <c r="D14" s="411">
        <v>43035.58</v>
      </c>
      <c r="E14" s="412">
        <f t="shared" si="0"/>
        <v>1599112.1400000001</v>
      </c>
      <c r="F14" s="413"/>
      <c r="G14" s="413">
        <f t="shared" si="1"/>
        <v>677230.14999999991</v>
      </c>
      <c r="H14" s="413">
        <f t="shared" si="2"/>
        <v>921881.99000000011</v>
      </c>
      <c r="I14" s="444"/>
    </row>
    <row r="15" spans="1:9" s="330" customFormat="1" ht="12.75" customHeight="1" x14ac:dyDescent="0.25">
      <c r="A15" s="408" t="s">
        <v>1796</v>
      </c>
      <c r="B15" s="409">
        <v>46134</v>
      </c>
      <c r="C15" s="410" t="s">
        <v>1797</v>
      </c>
      <c r="D15" s="412"/>
      <c r="E15" s="412">
        <f t="shared" si="0"/>
        <v>1599112.1400000001</v>
      </c>
      <c r="F15" s="445">
        <v>368673.16</v>
      </c>
      <c r="G15" s="413">
        <f t="shared" si="1"/>
        <v>1045903.3099999998</v>
      </c>
      <c r="H15" s="413">
        <f t="shared" si="2"/>
        <v>553208.83000000007</v>
      </c>
      <c r="I15" s="482">
        <f>I13+11402.28</f>
        <v>32347.54</v>
      </c>
    </row>
    <row r="16" spans="1:9" s="330" customFormat="1" ht="12.75" customHeight="1" x14ac:dyDescent="0.25">
      <c r="A16" s="408"/>
      <c r="B16" s="409"/>
      <c r="C16" s="410"/>
      <c r="D16" s="412"/>
      <c r="E16" s="412">
        <f t="shared" si="0"/>
        <v>1599112.1400000001</v>
      </c>
      <c r="F16" s="422"/>
      <c r="G16" s="413">
        <f t="shared" si="1"/>
        <v>1045903.3099999998</v>
      </c>
      <c r="H16" s="413">
        <f t="shared" si="2"/>
        <v>553208.83000000007</v>
      </c>
      <c r="I16" s="444"/>
    </row>
    <row r="17" spans="1:9" s="330" customFormat="1" ht="12.75" customHeight="1" x14ac:dyDescent="0.25">
      <c r="A17" s="408"/>
      <c r="B17" s="409"/>
      <c r="C17" s="410"/>
      <c r="D17" s="412"/>
      <c r="E17" s="412">
        <f t="shared" si="0"/>
        <v>1599112.1400000001</v>
      </c>
      <c r="F17" s="422"/>
      <c r="G17" s="413">
        <f t="shared" si="1"/>
        <v>1045903.3099999998</v>
      </c>
      <c r="H17" s="413">
        <f t="shared" si="2"/>
        <v>553208.83000000007</v>
      </c>
      <c r="I17" s="444"/>
    </row>
    <row r="18" spans="1:9" s="330" customFormat="1" ht="12.75" customHeight="1" x14ac:dyDescent="0.25">
      <c r="A18" s="408"/>
      <c r="B18" s="409"/>
      <c r="C18" s="410"/>
      <c r="D18" s="412"/>
      <c r="E18" s="412">
        <f t="shared" si="0"/>
        <v>1599112.1400000001</v>
      </c>
      <c r="F18" s="422"/>
      <c r="G18" s="413">
        <f t="shared" si="1"/>
        <v>1045903.3099999998</v>
      </c>
      <c r="H18" s="413">
        <f t="shared" si="2"/>
        <v>553208.83000000007</v>
      </c>
      <c r="I18" s="444"/>
    </row>
    <row r="19" spans="1:9" s="330" customFormat="1" ht="12.75" customHeight="1" x14ac:dyDescent="0.25">
      <c r="A19" s="408"/>
      <c r="B19" s="409"/>
      <c r="C19" s="410"/>
      <c r="D19" s="412"/>
      <c r="E19" s="412">
        <f t="shared" si="0"/>
        <v>1599112.1400000001</v>
      </c>
      <c r="F19" s="413"/>
      <c r="G19" s="413">
        <f t="shared" si="1"/>
        <v>1045903.3099999998</v>
      </c>
      <c r="H19" s="413">
        <f t="shared" si="2"/>
        <v>553208.83000000007</v>
      </c>
      <c r="I19" s="444"/>
    </row>
    <row r="20" spans="1:9" s="330" customFormat="1" ht="12.75" customHeight="1" x14ac:dyDescent="0.25">
      <c r="A20" s="408"/>
      <c r="B20" s="409"/>
      <c r="C20" s="410"/>
      <c r="D20" s="412"/>
      <c r="E20" s="412">
        <f t="shared" si="0"/>
        <v>1599112.1400000001</v>
      </c>
      <c r="F20" s="413"/>
      <c r="G20" s="413">
        <f t="shared" si="1"/>
        <v>1045903.3099999998</v>
      </c>
      <c r="H20" s="413">
        <f t="shared" si="2"/>
        <v>553208.83000000007</v>
      </c>
      <c r="I20" s="444"/>
    </row>
    <row r="21" spans="1:9" s="330" customFormat="1" ht="12.75" customHeight="1" x14ac:dyDescent="0.25">
      <c r="A21" s="408"/>
      <c r="B21" s="409"/>
      <c r="C21" s="423"/>
      <c r="D21" s="412"/>
      <c r="E21" s="412">
        <f t="shared" si="0"/>
        <v>1599112.1400000001</v>
      </c>
      <c r="F21" s="413"/>
      <c r="G21" s="413">
        <f t="shared" si="1"/>
        <v>1045903.3099999998</v>
      </c>
      <c r="H21" s="413">
        <f t="shared" si="2"/>
        <v>553208.83000000007</v>
      </c>
      <c r="I21" s="44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1599112.1400000001</v>
      </c>
      <c r="E23" s="426"/>
      <c r="F23" s="426">
        <f>SUM(F9:F22)</f>
        <v>1045903.3099999998</v>
      </c>
      <c r="G23" s="426"/>
      <c r="H23" s="426">
        <f>D23-F23</f>
        <v>553208.83000000031</v>
      </c>
      <c r="I23" s="491"/>
    </row>
    <row r="24" spans="1:9" s="330" customFormat="1" ht="12.75" customHeight="1" thickTop="1" x14ac:dyDescent="0.25"/>
    <row r="25" spans="1:9" s="330" customFormat="1" ht="12.75" customHeight="1" x14ac:dyDescent="0.25"/>
    <row r="26" spans="1:9" s="330" customFormat="1" ht="12.75" customHeight="1" x14ac:dyDescent="0.25">
      <c r="A26" s="176" t="s">
        <v>1417</v>
      </c>
    </row>
    <row r="27" spans="1:9"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99">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49" bestFit="1" customWidth="1"/>
    <col min="5" max="5" width="25.42578125" customWidth="1"/>
    <col min="6" max="6" width="10.42578125" bestFit="1" customWidth="1"/>
    <col min="7" max="7" width="15.28515625" customWidth="1"/>
    <col min="8" max="8" width="16.140625" customWidth="1"/>
    <col min="9" max="11" width="9.140625" customWidth="1"/>
  </cols>
  <sheetData>
    <row r="1" spans="1:8" x14ac:dyDescent="0.25">
      <c r="A1" s="104" t="str">
        <f>'RECAP #9429.00 '!B1</f>
        <v>ANK HHS IMEO Expansion and Renovation</v>
      </c>
      <c r="B1" s="7"/>
      <c r="C1" s="2"/>
      <c r="D1" s="3"/>
      <c r="E1" s="3"/>
      <c r="F1" s="7"/>
      <c r="G1" s="7"/>
      <c r="H1" s="7"/>
    </row>
    <row r="2" spans="1:8" x14ac:dyDescent="0.25">
      <c r="A2" s="105" t="str">
        <f>'RECAP #9429.00 '!B2</f>
        <v>Project # 9429.00</v>
      </c>
      <c r="B2" s="7"/>
      <c r="C2" s="106" t="s">
        <v>3</v>
      </c>
      <c r="D2" s="1"/>
      <c r="E2" s="1"/>
      <c r="F2" s="7"/>
      <c r="G2" s="7"/>
      <c r="H2" s="7"/>
    </row>
    <row r="3" spans="1:8" x14ac:dyDescent="0.25">
      <c r="A3" s="107" t="str">
        <f>'RECAP #9429.00 '!B3</f>
        <v>Program code 942900</v>
      </c>
      <c r="B3" s="7"/>
      <c r="C3" s="106" t="s">
        <v>3</v>
      </c>
      <c r="D3" s="108" t="str">
        <f>'RECAP #9429.00 '!E3</f>
        <v>Major Program 4E02</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#9429.00 '!B6</f>
        <v>Project Manager - James T.</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ht="12.75" customHeight="1" x14ac:dyDescent="0.25">
      <c r="A9" s="12"/>
      <c r="B9" s="119"/>
      <c r="C9" s="14"/>
      <c r="D9" s="233" t="s">
        <v>73</v>
      </c>
      <c r="E9" s="233" t="s">
        <v>105</v>
      </c>
      <c r="F9" s="234">
        <v>45502</v>
      </c>
      <c r="G9" s="235">
        <v>5000000</v>
      </c>
      <c r="H9" s="235">
        <v>5000000</v>
      </c>
    </row>
    <row r="10" spans="1:8" ht="12.75" customHeight="1" x14ac:dyDescent="0.25">
      <c r="A10" s="12"/>
      <c r="B10" s="12"/>
      <c r="C10" s="13"/>
      <c r="D10" s="233" t="s">
        <v>1630</v>
      </c>
      <c r="E10" s="230" t="s">
        <v>350</v>
      </c>
      <c r="F10" s="230">
        <v>45639</v>
      </c>
      <c r="G10" s="344">
        <v>50000</v>
      </c>
      <c r="H10" s="344">
        <v>50000</v>
      </c>
    </row>
    <row r="11" spans="1:8" ht="12.75" customHeight="1" x14ac:dyDescent="0.25">
      <c r="A11" s="19"/>
      <c r="B11" s="13"/>
      <c r="C11" s="16"/>
      <c r="D11" s="233" t="s">
        <v>1002</v>
      </c>
      <c r="E11" s="230" t="s">
        <v>1003</v>
      </c>
      <c r="F11" s="230">
        <v>45881</v>
      </c>
      <c r="G11" s="386">
        <v>-3735949.31</v>
      </c>
      <c r="H11" s="386">
        <v>-3735949.31</v>
      </c>
    </row>
    <row r="12" spans="1:8" ht="12.75" customHeight="1" x14ac:dyDescent="0.25">
      <c r="A12" s="19"/>
      <c r="B12" s="13"/>
      <c r="C12" s="20"/>
      <c r="D12" s="233" t="s">
        <v>1059</v>
      </c>
      <c r="E12" s="230" t="s">
        <v>1077</v>
      </c>
      <c r="F12" s="230">
        <v>45902</v>
      </c>
      <c r="G12" s="344">
        <v>3735949.31</v>
      </c>
      <c r="H12" s="344">
        <v>3735949.31</v>
      </c>
    </row>
    <row r="13" spans="1:8" ht="12.75" customHeight="1" x14ac:dyDescent="0.25">
      <c r="A13" s="17"/>
      <c r="B13" s="21"/>
      <c r="C13" s="20"/>
      <c r="D13" s="233" t="s">
        <v>1421</v>
      </c>
      <c r="E13" s="233" t="s">
        <v>1420</v>
      </c>
      <c r="F13" s="230">
        <v>46007</v>
      </c>
      <c r="G13" s="344">
        <v>28000000</v>
      </c>
      <c r="H13" s="344">
        <v>28000000</v>
      </c>
    </row>
    <row r="14" spans="1:8" ht="12.75" customHeight="1" x14ac:dyDescent="0.25">
      <c r="A14" s="19"/>
      <c r="B14" s="22"/>
      <c r="C14" s="20"/>
      <c r="D14" s="233" t="s">
        <v>1629</v>
      </c>
      <c r="E14" s="230" t="s">
        <v>1628</v>
      </c>
      <c r="F14" s="230">
        <v>46073</v>
      </c>
      <c r="G14" s="386">
        <v>-32000</v>
      </c>
      <c r="H14" s="386">
        <v>-32000</v>
      </c>
    </row>
    <row r="15" spans="1:8" ht="12.75" customHeight="1" x14ac:dyDescent="0.25">
      <c r="A15" s="19"/>
      <c r="B15" s="22"/>
      <c r="C15" s="111"/>
      <c r="D15" s="23"/>
      <c r="E15" s="12"/>
      <c r="F15" s="122"/>
      <c r="G15" s="395"/>
      <c r="H15" s="395"/>
    </row>
    <row r="16" spans="1:8" ht="12.75" customHeight="1" x14ac:dyDescent="0.25">
      <c r="A16" s="19"/>
      <c r="B16" s="22"/>
      <c r="C16" s="111" t="s">
        <v>3</v>
      </c>
      <c r="D16" s="23"/>
      <c r="E16" s="12"/>
      <c r="F16" s="122"/>
      <c r="G16" s="395"/>
      <c r="H16" s="395"/>
    </row>
    <row r="17" spans="1:8" ht="12.75" customHeight="1" x14ac:dyDescent="0.25">
      <c r="A17" s="19"/>
      <c r="B17" s="22"/>
      <c r="C17" s="111"/>
      <c r="D17" s="23"/>
      <c r="E17" s="12"/>
      <c r="F17" s="122"/>
      <c r="G17" s="25"/>
      <c r="H17" s="396"/>
    </row>
    <row r="18" spans="1:8" ht="12.75" customHeight="1" x14ac:dyDescent="0.25">
      <c r="A18" s="19"/>
      <c r="B18" s="103"/>
      <c r="C18" s="111"/>
      <c r="D18" s="23"/>
      <c r="E18" s="12"/>
      <c r="F18" s="122"/>
      <c r="G18" s="395"/>
      <c r="H18" s="395"/>
    </row>
    <row r="19" spans="1:8" ht="12.75" customHeight="1" x14ac:dyDescent="0.25">
      <c r="A19" s="19"/>
      <c r="B19" s="22"/>
      <c r="C19" s="111"/>
      <c r="D19" s="23"/>
      <c r="E19" s="12"/>
      <c r="F19" s="122"/>
      <c r="G19" s="395"/>
      <c r="H19" s="395"/>
    </row>
    <row r="20" spans="1:8" ht="12.75" customHeight="1" x14ac:dyDescent="0.25">
      <c r="A20" s="19"/>
      <c r="B20" s="22"/>
      <c r="C20" s="111"/>
      <c r="D20" s="23"/>
      <c r="E20" s="12"/>
      <c r="F20" s="122"/>
      <c r="G20" s="25"/>
      <c r="H20" s="396"/>
    </row>
    <row r="21" spans="1:8" ht="12.75" customHeight="1" x14ac:dyDescent="0.25">
      <c r="A21" s="19"/>
      <c r="B21" s="22"/>
      <c r="C21" s="111"/>
      <c r="D21" s="23"/>
      <c r="E21" s="12"/>
      <c r="F21" s="122"/>
      <c r="G21" s="25"/>
      <c r="H21" s="111"/>
    </row>
    <row r="22" spans="1:8" ht="12.75" customHeight="1" x14ac:dyDescent="0.25">
      <c r="A22" s="19"/>
      <c r="B22" s="22"/>
      <c r="C22" s="111"/>
      <c r="D22" s="23"/>
      <c r="E22" s="1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33018000</v>
      </c>
      <c r="H24" s="123">
        <f>SUM(H9:H23)</f>
        <v>33018000</v>
      </c>
    </row>
    <row r="25" spans="1:8" ht="15" customHeight="1" thickTop="1" x14ac:dyDescent="0.25"/>
  </sheetData>
  <pageMargins left="0.25" right="0.25" top="0.85" bottom="0.75" header="0.08" footer="0.3"/>
  <pageSetup scale="6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0">
    <pageSetUpPr fitToPage="1"/>
  </sheetPr>
  <dimension ref="A1:I3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46.85546875" customWidth="1"/>
    <col min="4" max="4" width="14.42578125" customWidth="1"/>
    <col min="5" max="5" width="13.5703125" customWidth="1"/>
    <col min="6" max="6" width="14.7109375" customWidth="1"/>
    <col min="7" max="7" width="12.5703125" customWidth="1"/>
    <col min="8" max="8" width="15.28515625" customWidth="1"/>
    <col min="9" max="9" width="6.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193</v>
      </c>
      <c r="B4" s="126"/>
      <c r="C4" s="127"/>
      <c r="D4" s="128" t="s">
        <v>194</v>
      </c>
      <c r="E4" s="124"/>
      <c r="F4" s="124"/>
      <c r="G4" s="124"/>
      <c r="H4" s="125"/>
      <c r="I4" s="125"/>
    </row>
    <row r="5" spans="1:9" ht="15.75" x14ac:dyDescent="0.25">
      <c r="A5" s="129" t="s">
        <v>143</v>
      </c>
      <c r="B5" s="130"/>
      <c r="C5" s="131"/>
      <c r="D5" s="176" t="s">
        <v>195</v>
      </c>
      <c r="E5" s="133"/>
      <c r="F5" s="134"/>
      <c r="G5" s="134"/>
      <c r="H5" s="130"/>
      <c r="I5" s="125"/>
    </row>
    <row r="6" spans="1:9" ht="15.75" x14ac:dyDescent="0.25">
      <c r="A6" s="86" t="str">
        <f>'RECAP #9429.00 '!B6</f>
        <v>Project Manager - James T.</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196</v>
      </c>
      <c r="B9" s="409">
        <v>45547</v>
      </c>
      <c r="C9" s="410" t="s">
        <v>107</v>
      </c>
      <c r="D9" s="411">
        <v>45000</v>
      </c>
      <c r="E9" s="412">
        <f>D9</f>
        <v>45000</v>
      </c>
      <c r="F9" s="413"/>
      <c r="G9" s="413"/>
      <c r="H9" s="413">
        <f>E9</f>
        <v>45000</v>
      </c>
      <c r="I9" s="414"/>
    </row>
    <row r="10" spans="1:9" s="330" customFormat="1" ht="12.75" customHeight="1" x14ac:dyDescent="0.25">
      <c r="A10" s="408" t="s">
        <v>341</v>
      </c>
      <c r="B10" s="240">
        <v>45630</v>
      </c>
      <c r="C10" s="410" t="s">
        <v>342</v>
      </c>
      <c r="D10" s="412"/>
      <c r="E10" s="412">
        <f t="shared" ref="E10:E21" si="0">E9+D10</f>
        <v>45000</v>
      </c>
      <c r="F10" s="445">
        <v>4680</v>
      </c>
      <c r="G10" s="413">
        <f t="shared" ref="G10:G21" si="1">G9+F10</f>
        <v>4680</v>
      </c>
      <c r="H10" s="413">
        <f t="shared" ref="H10:H21" si="2">H9-F10+D10</f>
        <v>40320</v>
      </c>
      <c r="I10" s="414"/>
    </row>
    <row r="11" spans="1:9" s="330" customFormat="1" ht="12.75" customHeight="1" x14ac:dyDescent="0.25">
      <c r="A11" s="415" t="s">
        <v>363</v>
      </c>
      <c r="B11" s="480">
        <v>45646</v>
      </c>
      <c r="C11" s="417" t="s">
        <v>364</v>
      </c>
      <c r="D11" s="418"/>
      <c r="E11" s="418">
        <f t="shared" si="0"/>
        <v>45000</v>
      </c>
      <c r="F11" s="419">
        <v>40320</v>
      </c>
      <c r="G11" s="420">
        <f t="shared" si="1"/>
        <v>45000</v>
      </c>
      <c r="H11" s="420">
        <f t="shared" si="2"/>
        <v>0</v>
      </c>
      <c r="I11" s="524" t="s">
        <v>1015</v>
      </c>
    </row>
    <row r="12" spans="1:9" s="330" customFormat="1" ht="12.75" customHeight="1" x14ac:dyDescent="0.25">
      <c r="A12" s="408" t="s">
        <v>1185</v>
      </c>
      <c r="B12" s="409">
        <v>45918</v>
      </c>
      <c r="C12" s="403" t="s">
        <v>1263</v>
      </c>
      <c r="D12" s="411"/>
      <c r="E12" s="412">
        <f t="shared" si="0"/>
        <v>45000</v>
      </c>
      <c r="F12" s="525">
        <v>-27000</v>
      </c>
      <c r="G12" s="413">
        <f t="shared" si="1"/>
        <v>18000</v>
      </c>
      <c r="H12" s="413">
        <f t="shared" si="2"/>
        <v>27000</v>
      </c>
      <c r="I12" s="414"/>
    </row>
    <row r="13" spans="1:9" s="330" customFormat="1" ht="12.75" customHeight="1" x14ac:dyDescent="0.25">
      <c r="A13" s="408"/>
      <c r="B13" s="409"/>
      <c r="C13" s="403"/>
      <c r="D13" s="412"/>
      <c r="E13" s="412">
        <f t="shared" si="0"/>
        <v>45000</v>
      </c>
      <c r="F13" s="486"/>
      <c r="G13" s="413">
        <f t="shared" si="1"/>
        <v>18000</v>
      </c>
      <c r="H13" s="413">
        <f t="shared" si="2"/>
        <v>27000</v>
      </c>
      <c r="I13" s="414"/>
    </row>
    <row r="14" spans="1:9" s="330" customFormat="1" ht="12.75" customHeight="1" x14ac:dyDescent="0.25">
      <c r="A14" s="408"/>
      <c r="B14" s="409"/>
      <c r="C14" s="410"/>
      <c r="D14" s="411"/>
      <c r="E14" s="412">
        <f t="shared" si="0"/>
        <v>45000</v>
      </c>
      <c r="F14" s="413"/>
      <c r="G14" s="413">
        <f t="shared" si="1"/>
        <v>18000</v>
      </c>
      <c r="H14" s="413">
        <f t="shared" si="2"/>
        <v>27000</v>
      </c>
      <c r="I14" s="414"/>
    </row>
    <row r="15" spans="1:9" s="330" customFormat="1" ht="12.75" customHeight="1" x14ac:dyDescent="0.25">
      <c r="A15" s="408"/>
      <c r="B15" s="409"/>
      <c r="C15" s="410"/>
      <c r="D15" s="412"/>
      <c r="E15" s="412">
        <f t="shared" si="0"/>
        <v>45000</v>
      </c>
      <c r="F15" s="445"/>
      <c r="G15" s="413">
        <f t="shared" si="1"/>
        <v>18000</v>
      </c>
      <c r="H15" s="413">
        <f t="shared" si="2"/>
        <v>27000</v>
      </c>
      <c r="I15" s="414"/>
    </row>
    <row r="16" spans="1:9" s="330" customFormat="1" ht="12.75" customHeight="1" x14ac:dyDescent="0.25">
      <c r="A16" s="408"/>
      <c r="B16" s="409"/>
      <c r="C16" s="410"/>
      <c r="D16" s="412"/>
      <c r="E16" s="412">
        <f t="shared" si="0"/>
        <v>45000</v>
      </c>
      <c r="F16" s="445"/>
      <c r="G16" s="413">
        <f t="shared" si="1"/>
        <v>18000</v>
      </c>
      <c r="H16" s="413">
        <f t="shared" si="2"/>
        <v>27000</v>
      </c>
      <c r="I16" s="414"/>
    </row>
    <row r="17" spans="1:9" s="330" customFormat="1" ht="12.75" customHeight="1" x14ac:dyDescent="0.25">
      <c r="A17" s="408"/>
      <c r="B17" s="409"/>
      <c r="C17" s="410"/>
      <c r="D17" s="412"/>
      <c r="E17" s="412">
        <f t="shared" si="0"/>
        <v>45000</v>
      </c>
      <c r="F17" s="445"/>
      <c r="G17" s="413">
        <f t="shared" si="1"/>
        <v>18000</v>
      </c>
      <c r="H17" s="413">
        <f t="shared" si="2"/>
        <v>27000</v>
      </c>
      <c r="I17" s="448"/>
    </row>
    <row r="18" spans="1:9" s="330" customFormat="1" ht="12.75" customHeight="1" x14ac:dyDescent="0.25">
      <c r="A18" s="408"/>
      <c r="B18" s="409"/>
      <c r="C18" s="410"/>
      <c r="D18" s="494"/>
      <c r="E18" s="412">
        <f t="shared" si="0"/>
        <v>45000</v>
      </c>
      <c r="F18" s="422"/>
      <c r="G18" s="413">
        <f t="shared" si="1"/>
        <v>18000</v>
      </c>
      <c r="H18" s="413">
        <f t="shared" si="2"/>
        <v>27000</v>
      </c>
      <c r="I18" s="414"/>
    </row>
    <row r="19" spans="1:9" s="330" customFormat="1" ht="12.75" customHeight="1" x14ac:dyDescent="0.25">
      <c r="A19" s="408"/>
      <c r="B19" s="409"/>
      <c r="C19" s="410"/>
      <c r="D19" s="412"/>
      <c r="E19" s="412">
        <f t="shared" si="0"/>
        <v>45000</v>
      </c>
      <c r="F19" s="486"/>
      <c r="G19" s="413">
        <f t="shared" si="1"/>
        <v>18000</v>
      </c>
      <c r="H19" s="413">
        <f t="shared" si="2"/>
        <v>27000</v>
      </c>
      <c r="I19" s="414"/>
    </row>
    <row r="20" spans="1:9" s="330" customFormat="1" ht="12.75" customHeight="1" x14ac:dyDescent="0.25">
      <c r="A20" s="408"/>
      <c r="B20" s="409"/>
      <c r="C20" s="410"/>
      <c r="D20" s="412"/>
      <c r="E20" s="412">
        <f t="shared" si="0"/>
        <v>45000</v>
      </c>
      <c r="F20" s="413"/>
      <c r="G20" s="413">
        <f t="shared" si="1"/>
        <v>18000</v>
      </c>
      <c r="H20" s="413">
        <f t="shared" si="2"/>
        <v>27000</v>
      </c>
      <c r="I20" s="414"/>
    </row>
    <row r="21" spans="1:9" s="330" customFormat="1" ht="12.75" customHeight="1" x14ac:dyDescent="0.25">
      <c r="A21" s="408"/>
      <c r="B21" s="409"/>
      <c r="C21" s="423"/>
      <c r="D21" s="412"/>
      <c r="E21" s="412">
        <f t="shared" si="0"/>
        <v>45000</v>
      </c>
      <c r="F21" s="413"/>
      <c r="G21" s="413">
        <f t="shared" si="1"/>
        <v>18000</v>
      </c>
      <c r="H21" s="413">
        <f t="shared" si="2"/>
        <v>27000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45000</v>
      </c>
      <c r="E23" s="426"/>
      <c r="F23" s="426">
        <f>SUM(F9:F22)</f>
        <v>18000</v>
      </c>
      <c r="G23" s="426"/>
      <c r="H23" s="426">
        <f>D23-F23</f>
        <v>27000</v>
      </c>
      <c r="I23" s="414"/>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1">
    <pageSetUpPr fitToPage="1"/>
  </sheetPr>
  <dimension ref="A1:J43"/>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5.57031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78" t="str">
        <f>'RECAP #9429.00 '!B1</f>
        <v>ANK HHS IMEO Expansion and Renovation</v>
      </c>
      <c r="B1" s="79"/>
      <c r="C1" s="79"/>
      <c r="D1" s="6"/>
      <c r="E1" s="6"/>
      <c r="F1" s="6"/>
      <c r="G1" s="124"/>
      <c r="H1" s="124"/>
      <c r="I1" s="125"/>
      <c r="J1" s="125"/>
    </row>
    <row r="2" spans="1:10" ht="15.75" x14ac:dyDescent="0.25">
      <c r="A2" s="81" t="str">
        <f>'RECAP #9429.00 '!B2</f>
        <v>Project # 9429.00</v>
      </c>
      <c r="B2" s="80"/>
      <c r="C2" s="80"/>
      <c r="D2" s="6"/>
      <c r="E2" s="6"/>
      <c r="F2" s="6"/>
      <c r="G2" s="124"/>
      <c r="H2" s="124"/>
      <c r="I2" s="125"/>
      <c r="J2" s="125"/>
    </row>
    <row r="3" spans="1:10" ht="15.75" x14ac:dyDescent="0.25">
      <c r="A3" s="82" t="str">
        <f>'RECAP #9429.00 '!B3</f>
        <v>Program code 942900</v>
      </c>
      <c r="B3" s="80"/>
      <c r="C3" s="80"/>
      <c r="D3" s="6"/>
      <c r="E3" s="83" t="str">
        <f>'RECAP #9429.00 '!E3</f>
        <v>Major Program 4E02</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66</v>
      </c>
      <c r="B5" s="130"/>
      <c r="C5" s="130"/>
      <c r="D5" s="131"/>
      <c r="E5" s="132"/>
      <c r="F5" s="133"/>
      <c r="G5" s="134"/>
      <c r="H5" s="134"/>
      <c r="I5" s="130"/>
      <c r="J5" s="125"/>
    </row>
    <row r="6" spans="1:10" ht="15.75" x14ac:dyDescent="0.25">
      <c r="A6" s="86" t="str">
        <f>'RECAP #9429.00 '!B6</f>
        <v>Project Manager - James T.</v>
      </c>
      <c r="B6" s="86"/>
      <c r="C6" s="86"/>
      <c r="D6" s="135"/>
      <c r="E6" s="132" t="s">
        <v>84</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f>100000+300000</f>
        <v>400000</v>
      </c>
      <c r="F9" s="412">
        <f>E9</f>
        <v>400000</v>
      </c>
      <c r="G9" s="413"/>
      <c r="H9" s="413"/>
      <c r="I9" s="413">
        <f>F9</f>
        <v>400000</v>
      </c>
      <c r="J9" s="414"/>
    </row>
    <row r="10" spans="1:10" s="330" customFormat="1" ht="12.75" customHeight="1" x14ac:dyDescent="0.25">
      <c r="A10" s="456" t="s">
        <v>217</v>
      </c>
      <c r="B10" s="409">
        <v>45544</v>
      </c>
      <c r="C10" s="457">
        <v>2507</v>
      </c>
      <c r="D10" s="425" t="s">
        <v>218</v>
      </c>
      <c r="E10" s="412"/>
      <c r="F10" s="412">
        <f t="shared" ref="F10:F31" si="0">F9+E10</f>
        <v>400000</v>
      </c>
      <c r="G10" s="445">
        <f>885.97+375.14</f>
        <v>1261.1100000000001</v>
      </c>
      <c r="H10" s="413">
        <f t="shared" ref="H10:H36" si="1">H9+G10</f>
        <v>1261.1100000000001</v>
      </c>
      <c r="I10" s="413">
        <f t="shared" ref="I10:I36" si="2">I9-G10+E10</f>
        <v>398738.89</v>
      </c>
      <c r="J10" s="414"/>
    </row>
    <row r="11" spans="1:10" s="330" customFormat="1" ht="12.75" customHeight="1" x14ac:dyDescent="0.25">
      <c r="A11" s="456" t="s">
        <v>217</v>
      </c>
      <c r="B11" s="409">
        <v>45544</v>
      </c>
      <c r="C11" s="457">
        <v>9500</v>
      </c>
      <c r="D11" s="425" t="s">
        <v>219</v>
      </c>
      <c r="E11" s="412"/>
      <c r="F11" s="412">
        <f t="shared" si="0"/>
        <v>400000</v>
      </c>
      <c r="G11" s="445">
        <f>462+5956.5</f>
        <v>6418.5</v>
      </c>
      <c r="H11" s="413">
        <f t="shared" si="1"/>
        <v>7679.6100000000006</v>
      </c>
      <c r="I11" s="413">
        <f t="shared" si="2"/>
        <v>392320.39</v>
      </c>
      <c r="J11" s="414"/>
    </row>
    <row r="12" spans="1:10" s="330" customFormat="1" ht="12.75" customHeight="1" x14ac:dyDescent="0.25">
      <c r="A12" s="456" t="s">
        <v>274</v>
      </c>
      <c r="B12" s="409">
        <v>45574</v>
      </c>
      <c r="C12" s="457">
        <v>2507</v>
      </c>
      <c r="D12" s="425" t="s">
        <v>293</v>
      </c>
      <c r="E12" s="412"/>
      <c r="F12" s="412">
        <f t="shared" si="0"/>
        <v>400000</v>
      </c>
      <c r="G12" s="445">
        <f>283.61+102.38</f>
        <v>385.99</v>
      </c>
      <c r="H12" s="413">
        <f t="shared" si="1"/>
        <v>8065.6</v>
      </c>
      <c r="I12" s="413">
        <f t="shared" si="2"/>
        <v>391934.4</v>
      </c>
      <c r="J12" s="414"/>
    </row>
    <row r="13" spans="1:10" s="330" customFormat="1" ht="12.75" customHeight="1" x14ac:dyDescent="0.25">
      <c r="A13" s="456" t="s">
        <v>274</v>
      </c>
      <c r="B13" s="409">
        <v>45574</v>
      </c>
      <c r="C13" s="457">
        <v>9500</v>
      </c>
      <c r="D13" s="425" t="s">
        <v>294</v>
      </c>
      <c r="E13" s="412"/>
      <c r="F13" s="412">
        <f t="shared" si="0"/>
        <v>400000</v>
      </c>
      <c r="G13" s="445">
        <f>222.5+3214.2</f>
        <v>3436.7</v>
      </c>
      <c r="H13" s="413">
        <f t="shared" si="1"/>
        <v>11502.3</v>
      </c>
      <c r="I13" s="413">
        <f t="shared" si="2"/>
        <v>388497.7</v>
      </c>
      <c r="J13" s="414"/>
    </row>
    <row r="14" spans="1:10" s="330" customFormat="1" ht="12.75" customHeight="1" x14ac:dyDescent="0.25">
      <c r="A14" s="456" t="s">
        <v>314</v>
      </c>
      <c r="B14" s="409">
        <v>45603</v>
      </c>
      <c r="C14" s="457">
        <v>2507</v>
      </c>
      <c r="D14" s="425" t="s">
        <v>315</v>
      </c>
      <c r="E14" s="412"/>
      <c r="F14" s="412">
        <f t="shared" si="0"/>
        <v>400000</v>
      </c>
      <c r="G14" s="445">
        <f>193.45+394.07</f>
        <v>587.52</v>
      </c>
      <c r="H14" s="413">
        <f t="shared" si="1"/>
        <v>12089.82</v>
      </c>
      <c r="I14" s="413">
        <f t="shared" si="2"/>
        <v>387910.18</v>
      </c>
      <c r="J14" s="414"/>
    </row>
    <row r="15" spans="1:10" s="330" customFormat="1" ht="12.75" customHeight="1" x14ac:dyDescent="0.25">
      <c r="A15" s="456" t="s">
        <v>314</v>
      </c>
      <c r="B15" s="409">
        <v>45603</v>
      </c>
      <c r="C15" s="457">
        <v>9500</v>
      </c>
      <c r="D15" s="425" t="s">
        <v>316</v>
      </c>
      <c r="E15" s="412"/>
      <c r="F15" s="412">
        <f t="shared" si="0"/>
        <v>400000</v>
      </c>
      <c r="G15" s="445">
        <f>303+3619</f>
        <v>3922</v>
      </c>
      <c r="H15" s="413">
        <f t="shared" si="1"/>
        <v>16011.82</v>
      </c>
      <c r="I15" s="413">
        <f t="shared" si="2"/>
        <v>383988.18</v>
      </c>
      <c r="J15" s="414"/>
    </row>
    <row r="16" spans="1:10" s="330" customFormat="1" ht="12.75" customHeight="1" x14ac:dyDescent="0.25">
      <c r="A16" s="456" t="s">
        <v>343</v>
      </c>
      <c r="B16" s="468">
        <v>45635</v>
      </c>
      <c r="C16" s="469">
        <v>2507</v>
      </c>
      <c r="D16" s="458" t="s">
        <v>344</v>
      </c>
      <c r="E16" s="412"/>
      <c r="F16" s="412">
        <f t="shared" si="0"/>
        <v>400000</v>
      </c>
      <c r="G16" s="486">
        <f>-1363.03+-871.59</f>
        <v>-2234.62</v>
      </c>
      <c r="H16" s="413">
        <f t="shared" si="1"/>
        <v>13777.2</v>
      </c>
      <c r="I16" s="413">
        <f t="shared" si="2"/>
        <v>386222.8</v>
      </c>
      <c r="J16" s="414"/>
    </row>
    <row r="17" spans="1:10" s="330" customFormat="1" ht="12.75" customHeight="1" x14ac:dyDescent="0.25">
      <c r="A17" s="456" t="s">
        <v>343</v>
      </c>
      <c r="B17" s="468">
        <v>45635</v>
      </c>
      <c r="C17" s="469">
        <v>9500</v>
      </c>
      <c r="D17" s="231" t="s">
        <v>345</v>
      </c>
      <c r="E17" s="412"/>
      <c r="F17" s="412">
        <f t="shared" si="0"/>
        <v>400000</v>
      </c>
      <c r="G17" s="445">
        <f>255.5+3565.1</f>
        <v>3820.6</v>
      </c>
      <c r="H17" s="413">
        <f t="shared" si="1"/>
        <v>17597.8</v>
      </c>
      <c r="I17" s="413">
        <f t="shared" si="2"/>
        <v>382402.2</v>
      </c>
      <c r="J17" s="414"/>
    </row>
    <row r="18" spans="1:10" s="330" customFormat="1" ht="12.75" customHeight="1" x14ac:dyDescent="0.25">
      <c r="A18" s="456" t="s">
        <v>404</v>
      </c>
      <c r="B18" s="468">
        <v>45666</v>
      </c>
      <c r="C18" s="469">
        <v>9500</v>
      </c>
      <c r="D18" s="458" t="s">
        <v>405</v>
      </c>
      <c r="E18" s="412"/>
      <c r="F18" s="412">
        <f t="shared" si="0"/>
        <v>400000</v>
      </c>
      <c r="G18" s="445">
        <f>192.5+2495.9</f>
        <v>2688.4</v>
      </c>
      <c r="H18" s="413">
        <f t="shared" si="1"/>
        <v>20286.2</v>
      </c>
      <c r="I18" s="413">
        <f t="shared" si="2"/>
        <v>379713.8</v>
      </c>
      <c r="J18" s="414"/>
    </row>
    <row r="19" spans="1:10" s="330" customFormat="1" ht="12.75" customHeight="1" x14ac:dyDescent="0.25">
      <c r="A19" s="456" t="s">
        <v>506</v>
      </c>
      <c r="B19" s="468">
        <v>45699</v>
      </c>
      <c r="C19" s="469">
        <v>9500</v>
      </c>
      <c r="D19" s="231" t="s">
        <v>508</v>
      </c>
      <c r="E19" s="412"/>
      <c r="F19" s="412">
        <f t="shared" si="0"/>
        <v>400000</v>
      </c>
      <c r="G19" s="445">
        <f>368.5+5624.3</f>
        <v>5992.8</v>
      </c>
      <c r="H19" s="413">
        <f t="shared" si="1"/>
        <v>26279</v>
      </c>
      <c r="I19" s="413">
        <f t="shared" si="2"/>
        <v>373721</v>
      </c>
      <c r="J19" s="414"/>
    </row>
    <row r="20" spans="1:10" s="330" customFormat="1" ht="12.75" customHeight="1" x14ac:dyDescent="0.25">
      <c r="A20" s="456" t="s">
        <v>559</v>
      </c>
      <c r="B20" s="409">
        <v>45723</v>
      </c>
      <c r="C20" s="457">
        <v>9500</v>
      </c>
      <c r="D20" s="231" t="s">
        <v>561</v>
      </c>
      <c r="E20" s="412"/>
      <c r="F20" s="412">
        <f t="shared" si="0"/>
        <v>400000</v>
      </c>
      <c r="G20" s="445">
        <f>429+5735.4</f>
        <v>6164.4</v>
      </c>
      <c r="H20" s="413">
        <f t="shared" si="1"/>
        <v>32443.4</v>
      </c>
      <c r="I20" s="413">
        <f t="shared" si="2"/>
        <v>367556.6</v>
      </c>
      <c r="J20" s="414"/>
    </row>
    <row r="21" spans="1:10" s="330" customFormat="1" ht="12.75" customHeight="1" x14ac:dyDescent="0.25">
      <c r="A21" s="456" t="s">
        <v>656</v>
      </c>
      <c r="B21" s="409">
        <v>45756</v>
      </c>
      <c r="C21" s="457">
        <v>9500</v>
      </c>
      <c r="D21" s="231" t="s">
        <v>658</v>
      </c>
      <c r="E21" s="412"/>
      <c r="F21" s="412">
        <f t="shared" si="0"/>
        <v>400000</v>
      </c>
      <c r="G21" s="445">
        <f>492+5794.8</f>
        <v>6286.8</v>
      </c>
      <c r="H21" s="413">
        <f t="shared" si="1"/>
        <v>38730.200000000004</v>
      </c>
      <c r="I21" s="413">
        <f t="shared" si="2"/>
        <v>361269.8</v>
      </c>
      <c r="J21" s="414"/>
    </row>
    <row r="22" spans="1:10" s="330" customFormat="1" ht="12.75" customHeight="1" x14ac:dyDescent="0.25">
      <c r="A22" s="456" t="s">
        <v>727</v>
      </c>
      <c r="B22" s="409">
        <v>45786</v>
      </c>
      <c r="C22" s="457">
        <v>9500</v>
      </c>
      <c r="D22" s="231" t="s">
        <v>730</v>
      </c>
      <c r="E22" s="412"/>
      <c r="F22" s="412">
        <f t="shared" si="0"/>
        <v>400000</v>
      </c>
      <c r="G22" s="445">
        <f>385.5+4556.2</f>
        <v>4941.7</v>
      </c>
      <c r="H22" s="413">
        <f t="shared" si="1"/>
        <v>43671.9</v>
      </c>
      <c r="I22" s="413">
        <f t="shared" si="2"/>
        <v>356328.1</v>
      </c>
      <c r="J22" s="414"/>
    </row>
    <row r="23" spans="1:10" s="330" customFormat="1" ht="12.75" customHeight="1" x14ac:dyDescent="0.25">
      <c r="A23" s="456" t="s">
        <v>822</v>
      </c>
      <c r="B23" s="409">
        <v>45817</v>
      </c>
      <c r="C23" s="469">
        <v>9500</v>
      </c>
      <c r="D23" s="231" t="s">
        <v>824</v>
      </c>
      <c r="E23" s="412"/>
      <c r="F23" s="412">
        <f t="shared" si="0"/>
        <v>400000</v>
      </c>
      <c r="G23" s="445">
        <f>5610</f>
        <v>5610</v>
      </c>
      <c r="H23" s="413">
        <f t="shared" si="1"/>
        <v>49281.9</v>
      </c>
      <c r="I23" s="413">
        <f t="shared" si="2"/>
        <v>350718.1</v>
      </c>
      <c r="J23" s="414"/>
    </row>
    <row r="24" spans="1:10" s="330" customFormat="1" ht="12.75" customHeight="1" x14ac:dyDescent="0.25">
      <c r="A24" s="456" t="s">
        <v>942</v>
      </c>
      <c r="B24" s="409">
        <v>45848</v>
      </c>
      <c r="C24" s="469">
        <v>9500</v>
      </c>
      <c r="D24" s="231" t="s">
        <v>944</v>
      </c>
      <c r="E24" s="412"/>
      <c r="F24" s="412">
        <f t="shared" si="0"/>
        <v>400000</v>
      </c>
      <c r="G24" s="445">
        <f>511+5266.8</f>
        <v>5777.8</v>
      </c>
      <c r="H24" s="413">
        <f t="shared" si="1"/>
        <v>55059.700000000004</v>
      </c>
      <c r="I24" s="413">
        <f t="shared" si="2"/>
        <v>344940.3</v>
      </c>
      <c r="J24" s="414"/>
    </row>
    <row r="25" spans="1:10" s="330" customFormat="1" ht="12.75" customHeight="1" x14ac:dyDescent="0.25">
      <c r="A25" s="456" t="s">
        <v>1009</v>
      </c>
      <c r="B25" s="409">
        <v>45876</v>
      </c>
      <c r="C25" s="469">
        <v>9500</v>
      </c>
      <c r="D25" s="231" t="s">
        <v>1011</v>
      </c>
      <c r="E25" s="412"/>
      <c r="F25" s="412">
        <f t="shared" si="0"/>
        <v>400000</v>
      </c>
      <c r="G25" s="445">
        <f>415+6097.3</f>
        <v>6512.3</v>
      </c>
      <c r="H25" s="413">
        <f t="shared" si="1"/>
        <v>61572.000000000007</v>
      </c>
      <c r="I25" s="413">
        <f t="shared" si="2"/>
        <v>338428</v>
      </c>
      <c r="J25" s="414"/>
    </row>
    <row r="26" spans="1:10" s="330" customFormat="1" ht="12.75" customHeight="1" x14ac:dyDescent="0.25">
      <c r="A26" s="456" t="s">
        <v>1177</v>
      </c>
      <c r="B26" s="409">
        <v>45908</v>
      </c>
      <c r="C26" s="469">
        <v>9500</v>
      </c>
      <c r="D26" s="231" t="s">
        <v>1181</v>
      </c>
      <c r="E26" s="412"/>
      <c r="F26" s="412">
        <f t="shared" si="0"/>
        <v>400000</v>
      </c>
      <c r="G26" s="445">
        <f>519.5+8063</f>
        <v>8582.5</v>
      </c>
      <c r="H26" s="413">
        <f t="shared" si="1"/>
        <v>70154.5</v>
      </c>
      <c r="I26" s="413">
        <f t="shared" si="2"/>
        <v>329845.5</v>
      </c>
      <c r="J26" s="414"/>
    </row>
    <row r="27" spans="1:10" s="330" customFormat="1" ht="12.75" customHeight="1" x14ac:dyDescent="0.25">
      <c r="A27" s="456" t="s">
        <v>1233</v>
      </c>
      <c r="B27" s="409">
        <v>45937</v>
      </c>
      <c r="C27" s="469">
        <v>9500</v>
      </c>
      <c r="D27" s="231" t="s">
        <v>1236</v>
      </c>
      <c r="E27" s="412"/>
      <c r="F27" s="412">
        <f t="shared" si="0"/>
        <v>400000</v>
      </c>
      <c r="G27" s="445">
        <v>13036.4</v>
      </c>
      <c r="H27" s="413">
        <f t="shared" si="1"/>
        <v>83190.899999999994</v>
      </c>
      <c r="I27" s="413">
        <f t="shared" si="2"/>
        <v>316809.09999999998</v>
      </c>
      <c r="J27" s="414"/>
    </row>
    <row r="28" spans="1:10" s="330" customFormat="1" ht="12.75" customHeight="1" x14ac:dyDescent="0.25">
      <c r="A28" s="456" t="s">
        <v>1322</v>
      </c>
      <c r="B28" s="409">
        <v>45968</v>
      </c>
      <c r="C28" s="469">
        <v>9500</v>
      </c>
      <c r="D28" s="231" t="s">
        <v>1326</v>
      </c>
      <c r="E28" s="412"/>
      <c r="F28" s="412">
        <f t="shared" si="0"/>
        <v>400000</v>
      </c>
      <c r="G28" s="445">
        <v>12270.3</v>
      </c>
      <c r="H28" s="413">
        <f t="shared" si="1"/>
        <v>95461.2</v>
      </c>
      <c r="I28" s="413">
        <f t="shared" si="2"/>
        <v>304538.8</v>
      </c>
      <c r="J28" s="414"/>
    </row>
    <row r="29" spans="1:10" s="330" customFormat="1" ht="12.75" customHeight="1" x14ac:dyDescent="0.25">
      <c r="A29" s="456" t="s">
        <v>1423</v>
      </c>
      <c r="B29" s="409">
        <v>45996</v>
      </c>
      <c r="C29" s="484">
        <v>9500</v>
      </c>
      <c r="D29" s="231" t="s">
        <v>1425</v>
      </c>
      <c r="E29" s="412"/>
      <c r="F29" s="412">
        <f t="shared" si="0"/>
        <v>400000</v>
      </c>
      <c r="G29" s="445">
        <v>9752.4</v>
      </c>
      <c r="H29" s="413">
        <f t="shared" si="1"/>
        <v>105213.59999999999</v>
      </c>
      <c r="I29" s="413">
        <f t="shared" si="2"/>
        <v>294786.39999999997</v>
      </c>
      <c r="J29" s="414"/>
    </row>
    <row r="30" spans="1:10" s="330" customFormat="1" ht="12.75" customHeight="1" x14ac:dyDescent="0.2">
      <c r="A30" s="169" t="s">
        <v>1482</v>
      </c>
      <c r="B30" s="145">
        <v>46030</v>
      </c>
      <c r="C30" s="346">
        <v>9500</v>
      </c>
      <c r="D30" s="119" t="s">
        <v>1484</v>
      </c>
      <c r="E30" s="412"/>
      <c r="F30" s="412">
        <f t="shared" si="0"/>
        <v>400000</v>
      </c>
      <c r="G30" s="445">
        <v>12085.8</v>
      </c>
      <c r="H30" s="413">
        <f t="shared" si="1"/>
        <v>117299.4</v>
      </c>
      <c r="I30" s="413">
        <f t="shared" si="2"/>
        <v>282700.59999999998</v>
      </c>
      <c r="J30" s="414"/>
    </row>
    <row r="31" spans="1:10" s="330" customFormat="1" ht="12.75" customHeight="1" x14ac:dyDescent="0.2">
      <c r="A31" s="169" t="s">
        <v>1545</v>
      </c>
      <c r="B31" s="145">
        <v>46062</v>
      </c>
      <c r="C31" s="346">
        <v>9500</v>
      </c>
      <c r="D31" s="119" t="s">
        <v>1547</v>
      </c>
      <c r="E31" s="412"/>
      <c r="F31" s="412">
        <f t="shared" si="0"/>
        <v>400000</v>
      </c>
      <c r="G31" s="445">
        <v>11517.7</v>
      </c>
      <c r="H31" s="413">
        <f t="shared" si="1"/>
        <v>128817.09999999999</v>
      </c>
      <c r="I31" s="413">
        <f t="shared" si="2"/>
        <v>271182.89999999997</v>
      </c>
      <c r="J31" s="414"/>
    </row>
    <row r="32" spans="1:10" s="330" customFormat="1" ht="12.75" customHeight="1" x14ac:dyDescent="0.2">
      <c r="A32" s="169" t="s">
        <v>1663</v>
      </c>
      <c r="B32" s="145">
        <v>46090</v>
      </c>
      <c r="C32" s="346">
        <v>9500</v>
      </c>
      <c r="D32" s="119" t="s">
        <v>1665</v>
      </c>
      <c r="E32" s="412"/>
      <c r="F32" s="412">
        <f t="shared" ref="F32:F36" si="3">F31+E32</f>
        <v>400000</v>
      </c>
      <c r="G32" s="445">
        <v>11774.7</v>
      </c>
      <c r="H32" s="413">
        <f t="shared" si="1"/>
        <v>140591.79999999999</v>
      </c>
      <c r="I32" s="413">
        <f t="shared" si="2"/>
        <v>259408.19999999995</v>
      </c>
      <c r="J32" s="414"/>
    </row>
    <row r="33" spans="1:10" s="330" customFormat="1" ht="12.75" customHeight="1" x14ac:dyDescent="0.25">
      <c r="A33" s="169" t="s">
        <v>1751</v>
      </c>
      <c r="B33" s="145">
        <v>46118</v>
      </c>
      <c r="C33" s="346">
        <v>9500</v>
      </c>
      <c r="D33" s="119" t="s">
        <v>1753</v>
      </c>
      <c r="E33"/>
      <c r="F33" s="412">
        <f t="shared" si="3"/>
        <v>400000</v>
      </c>
      <c r="G33" s="445">
        <v>14201.3</v>
      </c>
      <c r="H33" s="413">
        <f t="shared" si="1"/>
        <v>154793.09999999998</v>
      </c>
      <c r="I33" s="413">
        <f t="shared" si="2"/>
        <v>245206.89999999997</v>
      </c>
      <c r="J33" s="414"/>
    </row>
    <row r="34" spans="1:10" s="330" customFormat="1" ht="12.75" customHeight="1" x14ac:dyDescent="0.25">
      <c r="A34" s="169"/>
      <c r="B34" s="145"/>
      <c r="C34" s="346"/>
      <c r="D34" s="119"/>
      <c r="E34"/>
      <c r="F34" s="412">
        <f t="shared" si="3"/>
        <v>400000</v>
      </c>
      <c r="G34" s="445"/>
      <c r="H34" s="413">
        <f t="shared" si="1"/>
        <v>154793.09999999998</v>
      </c>
      <c r="I34" s="413">
        <f t="shared" si="2"/>
        <v>245206.89999999997</v>
      </c>
      <c r="J34" s="414"/>
    </row>
    <row r="35" spans="1:10" s="330" customFormat="1" ht="12.75" customHeight="1" x14ac:dyDescent="0.2">
      <c r="A35" s="169"/>
      <c r="B35" s="145"/>
      <c r="C35" s="346"/>
      <c r="D35" s="119"/>
      <c r="E35" s="412"/>
      <c r="F35" s="412">
        <f t="shared" si="3"/>
        <v>400000</v>
      </c>
      <c r="G35" s="422"/>
      <c r="H35" s="413">
        <f t="shared" si="1"/>
        <v>154793.09999999998</v>
      </c>
      <c r="I35" s="413">
        <f t="shared" si="2"/>
        <v>245206.89999999997</v>
      </c>
      <c r="J35" s="414"/>
    </row>
    <row r="36" spans="1:10" s="330" customFormat="1" ht="12.75" customHeight="1" x14ac:dyDescent="0.2">
      <c r="A36" s="169"/>
      <c r="B36" s="145"/>
      <c r="C36" s="346"/>
      <c r="D36" s="119"/>
      <c r="E36" s="412"/>
      <c r="F36" s="412">
        <f t="shared" si="3"/>
        <v>400000</v>
      </c>
      <c r="G36" s="422"/>
      <c r="H36" s="413">
        <f t="shared" si="1"/>
        <v>154793.09999999998</v>
      </c>
      <c r="I36" s="413">
        <f t="shared" si="2"/>
        <v>245206.89999999997</v>
      </c>
      <c r="J36" s="414"/>
    </row>
    <row r="37" spans="1:10" s="330" customFormat="1" ht="12.75" customHeight="1" x14ac:dyDescent="0.25">
      <c r="A37" s="231"/>
      <c r="B37" s="410"/>
      <c r="C37" s="469"/>
      <c r="D37" s="425"/>
      <c r="E37" s="413"/>
      <c r="F37" s="413"/>
      <c r="G37" s="413"/>
      <c r="H37" s="413"/>
      <c r="I37" s="413"/>
      <c r="J37" s="414"/>
    </row>
    <row r="38" spans="1:10" s="330" customFormat="1" ht="12.75" customHeight="1" thickBot="1" x14ac:dyDescent="0.3">
      <c r="A38" s="231"/>
      <c r="B38" s="449"/>
      <c r="C38" s="469"/>
      <c r="D38" s="450" t="s">
        <v>54</v>
      </c>
      <c r="E38" s="426">
        <f>SUM(E9:E37)</f>
        <v>400000</v>
      </c>
      <c r="F38" s="426"/>
      <c r="G38" s="426">
        <f>SUM(G9:G37)</f>
        <v>154793.09999999998</v>
      </c>
      <c r="H38" s="426"/>
      <c r="I38" s="426">
        <f>E38-G38</f>
        <v>245206.90000000002</v>
      </c>
      <c r="J38" s="414"/>
    </row>
    <row r="39" spans="1:10" s="330" customFormat="1" ht="12.75" customHeight="1" thickTop="1" x14ac:dyDescent="0.25"/>
    <row r="40" spans="1:10" s="330" customFormat="1" ht="12.75" customHeight="1" x14ac:dyDescent="0.25"/>
    <row r="41" spans="1:10" s="330" customFormat="1" ht="12.75" customHeight="1" x14ac:dyDescent="0.25"/>
    <row r="42" spans="1:10" s="330" customFormat="1" ht="12.75" customHeight="1" x14ac:dyDescent="0.25"/>
    <row r="43" spans="1:10"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2">
    <pageSetUpPr fitToPage="1"/>
  </sheetPr>
  <dimension ref="A1:H37"/>
  <sheetViews>
    <sheetView tabSelected="1" topLeftCell="A8"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3.42578125" customWidth="1"/>
    <col min="6" max="6" width="19.140625" customWidth="1"/>
    <col min="7" max="7" width="12.42578125" customWidth="1"/>
    <col min="8" max="8" width="15.42578125" customWidth="1"/>
  </cols>
  <sheetData>
    <row r="1" spans="1:8" ht="15.75" x14ac:dyDescent="0.25">
      <c r="A1" s="78" t="str">
        <f>'RECAP #9429.00 '!B1</f>
        <v>ANK HHS IMEO Expansion and Renovation</v>
      </c>
      <c r="B1" s="79"/>
      <c r="C1" s="79"/>
      <c r="D1" s="79"/>
      <c r="E1" s="6"/>
      <c r="F1" s="6"/>
      <c r="G1" s="6"/>
      <c r="H1" s="124"/>
    </row>
    <row r="2" spans="1:8" ht="15.75" x14ac:dyDescent="0.25">
      <c r="A2" s="81" t="str">
        <f>'RECAP #9429.00 '!B2</f>
        <v>Project # 9429.00</v>
      </c>
      <c r="B2" s="80"/>
      <c r="C2" s="80"/>
      <c r="D2" s="80"/>
      <c r="E2" s="6"/>
      <c r="F2" s="6"/>
      <c r="G2" s="6"/>
      <c r="H2" s="124"/>
    </row>
    <row r="3" spans="1:8" ht="15.75" x14ac:dyDescent="0.25">
      <c r="A3" s="82" t="str">
        <f>'RECAP #9429.00 '!B3</f>
        <v>Program code 942900</v>
      </c>
      <c r="B3" s="80"/>
      <c r="C3" s="80"/>
      <c r="D3" s="80"/>
      <c r="E3" s="83" t="str">
        <f>'RECAP #9429.00 '!E3</f>
        <v>Major Program 4E02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#9429.00 '!B6</f>
        <v>Project Manager - James T.</v>
      </c>
      <c r="B6" s="86"/>
      <c r="C6" s="86"/>
      <c r="D6" s="86"/>
      <c r="E6" s="83" t="s">
        <v>313</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56" t="s">
        <v>314</v>
      </c>
      <c r="B9" s="409">
        <v>45603</v>
      </c>
      <c r="C9" s="457">
        <v>2507</v>
      </c>
      <c r="D9" s="408"/>
      <c r="E9" s="456" t="s">
        <v>636</v>
      </c>
      <c r="F9" s="462" t="s">
        <v>1306</v>
      </c>
      <c r="G9" s="445">
        <v>95</v>
      </c>
      <c r="H9" s="461">
        <f>G9</f>
        <v>95</v>
      </c>
    </row>
    <row r="10" spans="1:8" s="330" customFormat="1" ht="12.75" customHeight="1" x14ac:dyDescent="0.25">
      <c r="A10" s="456" t="s">
        <v>343</v>
      </c>
      <c r="B10" s="409">
        <v>45632</v>
      </c>
      <c r="C10" s="457">
        <v>2507</v>
      </c>
      <c r="D10" s="425"/>
      <c r="E10" s="459" t="s">
        <v>637</v>
      </c>
      <c r="F10" s="381" t="s">
        <v>1307</v>
      </c>
      <c r="G10" s="445">
        <v>286.32</v>
      </c>
      <c r="H10" s="461">
        <f>H9+G10</f>
        <v>381.32</v>
      </c>
    </row>
    <row r="11" spans="1:8" s="330" customFormat="1" ht="12.75" customHeight="1" x14ac:dyDescent="0.25">
      <c r="A11" s="456" t="s">
        <v>454</v>
      </c>
      <c r="B11" s="409">
        <v>45681</v>
      </c>
      <c r="C11" s="457">
        <v>9500</v>
      </c>
      <c r="D11" s="409" t="s">
        <v>322</v>
      </c>
      <c r="E11" s="459" t="s">
        <v>456</v>
      </c>
      <c r="F11" s="461" t="s">
        <v>455</v>
      </c>
      <c r="G11" s="445">
        <v>286.95</v>
      </c>
      <c r="H11" s="461">
        <f t="shared" ref="H11:H34" si="0">H10+G11</f>
        <v>668.27</v>
      </c>
    </row>
    <row r="12" spans="1:8" s="330" customFormat="1" ht="12.75" customHeight="1" x14ac:dyDescent="0.25">
      <c r="A12" s="456" t="s">
        <v>559</v>
      </c>
      <c r="B12" s="409">
        <v>45723</v>
      </c>
      <c r="C12" s="457">
        <v>2507</v>
      </c>
      <c r="D12" s="409"/>
      <c r="E12" s="459" t="s">
        <v>638</v>
      </c>
      <c r="F12" s="381" t="s">
        <v>1308</v>
      </c>
      <c r="G12" s="445">
        <v>711.81</v>
      </c>
      <c r="H12" s="461">
        <f t="shared" si="0"/>
        <v>1380.08</v>
      </c>
    </row>
    <row r="13" spans="1:8" s="330" customFormat="1" ht="12.75" customHeight="1" x14ac:dyDescent="0.25">
      <c r="A13" s="456" t="s">
        <v>559</v>
      </c>
      <c r="B13" s="409">
        <v>45723</v>
      </c>
      <c r="C13" s="457">
        <v>2507</v>
      </c>
      <c r="D13" s="409"/>
      <c r="E13" s="456" t="s">
        <v>639</v>
      </c>
      <c r="F13" s="381" t="s">
        <v>1308</v>
      </c>
      <c r="G13" s="445">
        <v>47.5</v>
      </c>
      <c r="H13" s="461">
        <f t="shared" si="0"/>
        <v>1427.58</v>
      </c>
    </row>
    <row r="14" spans="1:8" s="330" customFormat="1" ht="12.75" customHeight="1" x14ac:dyDescent="0.25">
      <c r="A14" s="456" t="s">
        <v>656</v>
      </c>
      <c r="B14" s="409">
        <v>45756</v>
      </c>
      <c r="C14" s="457">
        <v>2507</v>
      </c>
      <c r="D14" s="425"/>
      <c r="E14" s="459" t="s">
        <v>660</v>
      </c>
      <c r="F14" s="461" t="s">
        <v>1309</v>
      </c>
      <c r="G14" s="445">
        <v>403.75</v>
      </c>
      <c r="H14" s="461">
        <f t="shared" si="0"/>
        <v>1831.33</v>
      </c>
    </row>
    <row r="15" spans="1:8" s="330" customFormat="1" ht="12.75" customHeight="1" x14ac:dyDescent="0.25">
      <c r="A15" s="456" t="s">
        <v>727</v>
      </c>
      <c r="B15" s="409">
        <v>45786</v>
      </c>
      <c r="C15" s="457">
        <v>2507</v>
      </c>
      <c r="D15" s="409"/>
      <c r="E15" s="459" t="s">
        <v>728</v>
      </c>
      <c r="F15" s="461" t="s">
        <v>1310</v>
      </c>
      <c r="G15" s="445">
        <v>308.75</v>
      </c>
      <c r="H15" s="461">
        <f t="shared" si="0"/>
        <v>2140.08</v>
      </c>
    </row>
    <row r="16" spans="1:8" s="330" customFormat="1" ht="12.75" customHeight="1" x14ac:dyDescent="0.25">
      <c r="A16" s="456" t="s">
        <v>822</v>
      </c>
      <c r="B16" s="409">
        <v>45817</v>
      </c>
      <c r="C16" s="457">
        <v>2507</v>
      </c>
      <c r="D16" s="458"/>
      <c r="E16" s="459" t="s">
        <v>1812</v>
      </c>
      <c r="F16" s="461" t="s">
        <v>1311</v>
      </c>
      <c r="G16" s="445">
        <v>546.25</v>
      </c>
      <c r="H16" s="461">
        <f t="shared" si="0"/>
        <v>2686.33</v>
      </c>
    </row>
    <row r="17" spans="1:8" s="330" customFormat="1" ht="12.75" customHeight="1" x14ac:dyDescent="0.25">
      <c r="A17" s="408" t="s">
        <v>889</v>
      </c>
      <c r="B17" s="409">
        <v>45832</v>
      </c>
      <c r="C17" s="457">
        <v>9500</v>
      </c>
      <c r="D17" s="409" t="s">
        <v>322</v>
      </c>
      <c r="E17" s="459" t="s">
        <v>887</v>
      </c>
      <c r="F17" s="461" t="s">
        <v>888</v>
      </c>
      <c r="G17" s="445">
        <v>1100</v>
      </c>
      <c r="H17" s="461">
        <f t="shared" si="0"/>
        <v>3786.33</v>
      </c>
    </row>
    <row r="18" spans="1:8" s="330" customFormat="1" ht="12.75" customHeight="1" x14ac:dyDescent="0.25">
      <c r="A18" s="456" t="s">
        <v>942</v>
      </c>
      <c r="B18" s="409">
        <v>45848</v>
      </c>
      <c r="C18" s="457">
        <v>2507</v>
      </c>
      <c r="E18" s="459" t="s">
        <v>945</v>
      </c>
      <c r="F18" s="461" t="s">
        <v>1312</v>
      </c>
      <c r="G18" s="445">
        <v>3277.5</v>
      </c>
      <c r="H18" s="461">
        <f t="shared" si="0"/>
        <v>7063.83</v>
      </c>
    </row>
    <row r="19" spans="1:8" s="330" customFormat="1" ht="12.75" customHeight="1" x14ac:dyDescent="0.25">
      <c r="A19" s="456" t="s">
        <v>977</v>
      </c>
      <c r="B19" s="409">
        <v>45860</v>
      </c>
      <c r="C19" s="457">
        <v>2507</v>
      </c>
      <c r="D19" s="409"/>
      <c r="E19" s="459" t="s">
        <v>978</v>
      </c>
      <c r="F19" s="461" t="s">
        <v>1313</v>
      </c>
      <c r="G19" s="445">
        <v>829.85</v>
      </c>
      <c r="H19" s="461">
        <f t="shared" si="0"/>
        <v>7893.68</v>
      </c>
    </row>
    <row r="20" spans="1:8" s="330" customFormat="1" ht="12.75" customHeight="1" x14ac:dyDescent="0.25">
      <c r="A20" s="408" t="s">
        <v>983</v>
      </c>
      <c r="B20" s="409">
        <v>45854</v>
      </c>
      <c r="C20" s="523" t="s">
        <v>981</v>
      </c>
      <c r="D20" s="409" t="s">
        <v>322</v>
      </c>
      <c r="E20" s="459" t="s">
        <v>1508</v>
      </c>
      <c r="F20" s="461" t="s">
        <v>982</v>
      </c>
      <c r="G20" s="445">
        <v>585</v>
      </c>
      <c r="H20" s="461">
        <f t="shared" si="0"/>
        <v>8478.68</v>
      </c>
    </row>
    <row r="21" spans="1:8" s="330" customFormat="1" ht="12.75" customHeight="1" x14ac:dyDescent="0.25">
      <c r="A21" s="456" t="s">
        <v>1009</v>
      </c>
      <c r="B21" s="409">
        <v>45876</v>
      </c>
      <c r="C21" s="457">
        <v>2507</v>
      </c>
      <c r="D21" s="459"/>
      <c r="E21" s="459" t="s">
        <v>1012</v>
      </c>
      <c r="F21" s="381" t="s">
        <v>1013</v>
      </c>
      <c r="G21" s="445">
        <v>308.75</v>
      </c>
      <c r="H21" s="461">
        <f t="shared" si="0"/>
        <v>8787.43</v>
      </c>
    </row>
    <row r="22" spans="1:8" s="330" customFormat="1" ht="12.75" customHeight="1" x14ac:dyDescent="0.25">
      <c r="A22" s="408" t="s">
        <v>1168</v>
      </c>
      <c r="B22" s="409">
        <v>45917</v>
      </c>
      <c r="C22" s="457">
        <v>9500</v>
      </c>
      <c r="D22" s="409" t="s">
        <v>322</v>
      </c>
      <c r="E22" s="459" t="s">
        <v>887</v>
      </c>
      <c r="F22" s="461" t="s">
        <v>1167</v>
      </c>
      <c r="G22" s="445">
        <v>625</v>
      </c>
      <c r="H22" s="461">
        <f t="shared" si="0"/>
        <v>9412.43</v>
      </c>
    </row>
    <row r="23" spans="1:8" s="330" customFormat="1" ht="12.75" customHeight="1" x14ac:dyDescent="0.25">
      <c r="A23" s="456" t="s">
        <v>1177</v>
      </c>
      <c r="B23" s="409">
        <v>45908</v>
      </c>
      <c r="C23" s="457">
        <v>2507</v>
      </c>
      <c r="D23" s="409"/>
      <c r="E23" s="459" t="s">
        <v>1179</v>
      </c>
      <c r="F23" s="381" t="s">
        <v>1180</v>
      </c>
      <c r="G23" s="445">
        <v>332.5</v>
      </c>
      <c r="H23" s="461">
        <f t="shared" si="0"/>
        <v>9744.93</v>
      </c>
    </row>
    <row r="24" spans="1:8" s="330" customFormat="1" ht="12.75" customHeight="1" x14ac:dyDescent="0.25">
      <c r="A24" s="456" t="s">
        <v>1218</v>
      </c>
      <c r="B24" s="409">
        <v>45930</v>
      </c>
      <c r="C24" s="457">
        <v>9500</v>
      </c>
      <c r="D24" s="409" t="s">
        <v>322</v>
      </c>
      <c r="E24" s="459" t="s">
        <v>456</v>
      </c>
      <c r="F24" s="381" t="s">
        <v>1219</v>
      </c>
      <c r="G24" s="445">
        <v>423</v>
      </c>
      <c r="H24" s="461">
        <f t="shared" si="0"/>
        <v>10167.93</v>
      </c>
    </row>
    <row r="25" spans="1:8" s="330" customFormat="1" ht="12.75" customHeight="1" x14ac:dyDescent="0.25">
      <c r="A25" s="456" t="s">
        <v>1233</v>
      </c>
      <c r="B25" s="409">
        <v>45937</v>
      </c>
      <c r="C25" s="455" t="s">
        <v>1234</v>
      </c>
      <c r="D25" s="409"/>
      <c r="E25" s="459" t="s">
        <v>1324</v>
      </c>
      <c r="F25" s="462" t="s">
        <v>1305</v>
      </c>
      <c r="G25" s="445">
        <v>498.75</v>
      </c>
      <c r="H25" s="461">
        <f t="shared" si="0"/>
        <v>10666.68</v>
      </c>
    </row>
    <row r="26" spans="1:8" s="330" customFormat="1" ht="12.75" customHeight="1" x14ac:dyDescent="0.25">
      <c r="A26" s="456" t="s">
        <v>1322</v>
      </c>
      <c r="B26" s="409">
        <v>45968</v>
      </c>
      <c r="C26" s="455" t="s">
        <v>1234</v>
      </c>
      <c r="D26" s="409"/>
      <c r="E26" s="459" t="s">
        <v>1323</v>
      </c>
      <c r="F26" s="381" t="s">
        <v>1325</v>
      </c>
      <c r="G26" s="445">
        <v>1187.5</v>
      </c>
      <c r="H26" s="461">
        <f t="shared" si="0"/>
        <v>11854.18</v>
      </c>
    </row>
    <row r="27" spans="1:8" s="330" customFormat="1" ht="12.75" customHeight="1" x14ac:dyDescent="0.25">
      <c r="A27" s="456" t="s">
        <v>1445</v>
      </c>
      <c r="B27" s="409">
        <v>46020</v>
      </c>
      <c r="C27" s="457">
        <v>9500</v>
      </c>
      <c r="D27" s="409" t="s">
        <v>322</v>
      </c>
      <c r="E27" s="459" t="s">
        <v>696</v>
      </c>
      <c r="F27" s="381" t="s">
        <v>1444</v>
      </c>
      <c r="G27" s="445">
        <v>4291.8</v>
      </c>
      <c r="H27" s="461">
        <f t="shared" si="0"/>
        <v>16145.98</v>
      </c>
    </row>
    <row r="28" spans="1:8" s="330" customFormat="1" ht="12.75" customHeight="1" x14ac:dyDescent="0.2">
      <c r="A28" s="169" t="s">
        <v>1482</v>
      </c>
      <c r="B28" s="145">
        <v>46030</v>
      </c>
      <c r="C28" s="147" t="s">
        <v>1234</v>
      </c>
      <c r="D28" s="409"/>
      <c r="E28" s="459" t="s">
        <v>1480</v>
      </c>
      <c r="F28" s="381" t="s">
        <v>1481</v>
      </c>
      <c r="G28" s="445">
        <v>878.75</v>
      </c>
      <c r="H28" s="461">
        <f t="shared" si="0"/>
        <v>17024.73</v>
      </c>
    </row>
    <row r="29" spans="1:8" s="330" customFormat="1" ht="12.75" customHeight="1" x14ac:dyDescent="0.25">
      <c r="A29" s="456" t="s">
        <v>1510</v>
      </c>
      <c r="B29" s="409">
        <v>46042</v>
      </c>
      <c r="C29" s="457">
        <v>9255</v>
      </c>
      <c r="D29" s="409" t="s">
        <v>1507</v>
      </c>
      <c r="E29" s="459" t="s">
        <v>1508</v>
      </c>
      <c r="F29" s="381" t="s">
        <v>1509</v>
      </c>
      <c r="G29" s="445">
        <v>2301</v>
      </c>
      <c r="H29" s="461">
        <f t="shared" si="0"/>
        <v>19325.73</v>
      </c>
    </row>
    <row r="30" spans="1:8" s="330" customFormat="1" ht="12.75" customHeight="1" x14ac:dyDescent="0.2">
      <c r="A30" s="169" t="s">
        <v>1663</v>
      </c>
      <c r="B30" s="409">
        <v>46090</v>
      </c>
      <c r="C30" s="457">
        <v>2507</v>
      </c>
      <c r="D30" s="409"/>
      <c r="E30" s="459" t="s">
        <v>1666</v>
      </c>
      <c r="F30" s="381" t="s">
        <v>1667</v>
      </c>
      <c r="G30" s="445">
        <v>1805</v>
      </c>
      <c r="H30" s="461">
        <f t="shared" si="0"/>
        <v>21130.73</v>
      </c>
    </row>
    <row r="31" spans="1:8" s="330" customFormat="1" ht="12.75" customHeight="1" x14ac:dyDescent="0.25">
      <c r="A31" s="456" t="s">
        <v>1671</v>
      </c>
      <c r="B31" s="409">
        <v>46091</v>
      </c>
      <c r="C31" s="457">
        <v>9500</v>
      </c>
      <c r="D31" s="409" t="s">
        <v>322</v>
      </c>
      <c r="E31" s="459" t="s">
        <v>947</v>
      </c>
      <c r="F31" s="381" t="s">
        <v>1670</v>
      </c>
      <c r="G31" s="445">
        <v>78966</v>
      </c>
      <c r="H31" s="461">
        <f t="shared" si="0"/>
        <v>100096.73</v>
      </c>
    </row>
    <row r="32" spans="1:8" s="330" customFormat="1" ht="12.75" customHeight="1" x14ac:dyDescent="0.25">
      <c r="A32" s="169" t="s">
        <v>1751</v>
      </c>
      <c r="B32" s="145">
        <v>46118</v>
      </c>
      <c r="C32" s="147" t="s">
        <v>1234</v>
      </c>
      <c r="D32" s="409"/>
      <c r="E32" t="s">
        <v>1754</v>
      </c>
      <c r="F32" s="381" t="s">
        <v>1755</v>
      </c>
      <c r="G32" s="445">
        <v>712.5</v>
      </c>
      <c r="H32" s="461">
        <f t="shared" si="0"/>
        <v>100809.23</v>
      </c>
    </row>
    <row r="33" spans="1:8" s="330" customFormat="1" ht="12.75" customHeight="1" x14ac:dyDescent="0.25">
      <c r="A33" s="456"/>
      <c r="B33" s="409"/>
      <c r="C33" s="457"/>
      <c r="D33" s="409"/>
      <c r="E33" s="459"/>
      <c r="F33" s="381"/>
      <c r="G33" s="445"/>
      <c r="H33" s="461">
        <f t="shared" si="0"/>
        <v>100809.23</v>
      </c>
    </row>
    <row r="34" spans="1:8" s="330" customFormat="1" ht="12.75" customHeight="1" x14ac:dyDescent="0.25">
      <c r="A34" s="456"/>
      <c r="B34" s="409"/>
      <c r="C34" s="457"/>
      <c r="D34" s="409"/>
      <c r="E34" s="459"/>
      <c r="F34" s="381"/>
      <c r="G34" s="445"/>
      <c r="H34" s="461">
        <f t="shared" si="0"/>
        <v>100809.23</v>
      </c>
    </row>
    <row r="35" spans="1:8" s="330" customFormat="1" ht="12.75" customHeight="1" x14ac:dyDescent="0.25">
      <c r="A35" s="408"/>
      <c r="B35" s="425"/>
      <c r="C35" s="425"/>
      <c r="D35" s="425"/>
      <c r="E35" s="459"/>
      <c r="F35" s="381"/>
      <c r="G35" s="459"/>
      <c r="H35" s="461"/>
    </row>
    <row r="36" spans="1:8" s="330" customFormat="1" ht="12.75" customHeight="1" thickBot="1" x14ac:dyDescent="0.3">
      <c r="A36" s="465"/>
      <c r="B36" s="424"/>
      <c r="C36" s="424"/>
      <c r="D36" s="424"/>
      <c r="E36" s="466" t="s">
        <v>54</v>
      </c>
      <c r="F36" s="467"/>
      <c r="G36" s="426">
        <f>SUM(G9:G35)</f>
        <v>100809.23</v>
      </c>
      <c r="H36" s="467"/>
    </row>
    <row r="37" spans="1:8" s="330"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3">
    <pageSetUpPr fitToPage="1"/>
  </sheetPr>
  <dimension ref="A1:I4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295</v>
      </c>
      <c r="B4" s="126"/>
      <c r="C4" s="127"/>
      <c r="D4" s="128" t="s">
        <v>194</v>
      </c>
      <c r="E4" s="124"/>
      <c r="F4" s="124"/>
      <c r="G4" s="124"/>
      <c r="H4" s="125"/>
      <c r="I4" s="125"/>
    </row>
    <row r="5" spans="1:9" ht="15.75" x14ac:dyDescent="0.25">
      <c r="A5" s="129" t="s">
        <v>143</v>
      </c>
      <c r="B5" s="130"/>
      <c r="C5" s="131"/>
      <c r="D5" s="176" t="s">
        <v>195</v>
      </c>
      <c r="E5" s="133"/>
      <c r="F5" s="134"/>
      <c r="G5" s="134"/>
      <c r="H5" s="130"/>
      <c r="I5" s="125"/>
    </row>
    <row r="6" spans="1:9" ht="15.75" x14ac:dyDescent="0.25">
      <c r="A6" s="86" t="str">
        <f>'RECAP #9429.00 '!B6</f>
        <v>Project Manager - James T.</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296</v>
      </c>
      <c r="B9" s="409">
        <v>45600</v>
      </c>
      <c r="C9" s="410" t="s">
        <v>107</v>
      </c>
      <c r="D9" s="411">
        <v>1624300</v>
      </c>
      <c r="E9" s="412">
        <f>D9</f>
        <v>1624300</v>
      </c>
      <c r="F9" s="413"/>
      <c r="G9" s="413"/>
      <c r="H9" s="413">
        <f>E9</f>
        <v>1624300</v>
      </c>
      <c r="I9" s="414"/>
    </row>
    <row r="10" spans="1:9" s="330" customFormat="1" ht="12.75" customHeight="1" x14ac:dyDescent="0.25">
      <c r="A10" s="408" t="s">
        <v>339</v>
      </c>
      <c r="B10" s="240">
        <v>45629</v>
      </c>
      <c r="C10" s="410" t="s">
        <v>340</v>
      </c>
      <c r="D10" s="412"/>
      <c r="E10" s="412">
        <f t="shared" ref="E10:E28" si="0">E9+D10</f>
        <v>1624300</v>
      </c>
      <c r="F10" s="445">
        <v>34869.78</v>
      </c>
      <c r="G10" s="413">
        <f t="shared" ref="G10:G28" si="1">G9+F10</f>
        <v>34869.78</v>
      </c>
      <c r="H10" s="413">
        <f t="shared" ref="H10:H28" si="2">H9-F10+D10</f>
        <v>1589430.22</v>
      </c>
      <c r="I10" s="414"/>
    </row>
    <row r="11" spans="1:9" s="330" customFormat="1" ht="12.75" customHeight="1" x14ac:dyDescent="0.25">
      <c r="A11" s="408" t="s">
        <v>446</v>
      </c>
      <c r="B11" s="409">
        <v>45678</v>
      </c>
      <c r="C11" s="410" t="s">
        <v>447</v>
      </c>
      <c r="D11" s="412"/>
      <c r="E11" s="412">
        <f t="shared" si="0"/>
        <v>1624300</v>
      </c>
      <c r="F11" s="445">
        <v>76873.59</v>
      </c>
      <c r="G11" s="413">
        <f t="shared" si="1"/>
        <v>111743.37</v>
      </c>
      <c r="H11" s="413">
        <f t="shared" si="2"/>
        <v>1512556.63</v>
      </c>
      <c r="I11" s="414"/>
    </row>
    <row r="12" spans="1:9" s="330" customFormat="1" ht="12.75" customHeight="1" x14ac:dyDescent="0.25">
      <c r="A12" s="408" t="s">
        <v>553</v>
      </c>
      <c r="B12" s="409">
        <v>45721</v>
      </c>
      <c r="C12" s="410" t="s">
        <v>554</v>
      </c>
      <c r="D12" s="412"/>
      <c r="E12" s="412">
        <f t="shared" si="0"/>
        <v>1624300</v>
      </c>
      <c r="F12" s="445">
        <v>139549.62</v>
      </c>
      <c r="G12" s="413">
        <f t="shared" si="1"/>
        <v>251292.99</v>
      </c>
      <c r="H12" s="413">
        <f t="shared" si="2"/>
        <v>1373007.0099999998</v>
      </c>
      <c r="I12" s="414"/>
    </row>
    <row r="13" spans="1:9" s="330" customFormat="1" ht="12.75" customHeight="1" x14ac:dyDescent="0.25">
      <c r="A13" s="408" t="s">
        <v>613</v>
      </c>
      <c r="B13" s="409">
        <v>45749</v>
      </c>
      <c r="C13" s="410" t="s">
        <v>614</v>
      </c>
      <c r="D13" s="412"/>
      <c r="E13" s="412">
        <f t="shared" si="0"/>
        <v>1624300</v>
      </c>
      <c r="F13" s="445">
        <v>235581.5</v>
      </c>
      <c r="G13" s="413">
        <f t="shared" si="1"/>
        <v>486874.49</v>
      </c>
      <c r="H13" s="413">
        <f t="shared" si="2"/>
        <v>1137425.5099999998</v>
      </c>
      <c r="I13" s="414"/>
    </row>
    <row r="14" spans="1:9" s="330" customFormat="1" ht="12.75" customHeight="1" x14ac:dyDescent="0.25">
      <c r="A14" s="408" t="s">
        <v>296</v>
      </c>
      <c r="B14" s="409">
        <v>45779</v>
      </c>
      <c r="C14" s="410" t="s">
        <v>301</v>
      </c>
      <c r="D14" s="411">
        <v>31620</v>
      </c>
      <c r="E14" s="412">
        <f t="shared" si="0"/>
        <v>1655920</v>
      </c>
      <c r="F14" s="413"/>
      <c r="G14" s="413">
        <f t="shared" si="1"/>
        <v>486874.49</v>
      </c>
      <c r="H14" s="413">
        <f t="shared" si="2"/>
        <v>1169045.5099999998</v>
      </c>
      <c r="I14" s="414"/>
    </row>
    <row r="15" spans="1:9" s="330" customFormat="1" ht="12.75" customHeight="1" x14ac:dyDescent="0.25">
      <c r="A15" s="408" t="s">
        <v>805</v>
      </c>
      <c r="B15" s="409">
        <v>45811</v>
      </c>
      <c r="C15" s="410" t="s">
        <v>806</v>
      </c>
      <c r="D15" s="412"/>
      <c r="E15" s="412">
        <f t="shared" si="0"/>
        <v>1655920</v>
      </c>
      <c r="F15" s="445">
        <v>262465.65000000002</v>
      </c>
      <c r="G15" s="413">
        <f t="shared" si="1"/>
        <v>749340.14</v>
      </c>
      <c r="H15" s="413">
        <f t="shared" si="2"/>
        <v>906579.85999999975</v>
      </c>
      <c r="I15" s="414"/>
    </row>
    <row r="16" spans="1:9" s="330" customFormat="1" ht="12.75" customHeight="1" x14ac:dyDescent="0.25">
      <c r="A16" s="408" t="s">
        <v>932</v>
      </c>
      <c r="B16" s="409">
        <v>45847</v>
      </c>
      <c r="C16" s="410" t="s">
        <v>933</v>
      </c>
      <c r="D16" s="412"/>
      <c r="E16" s="412">
        <f t="shared" si="0"/>
        <v>1655920</v>
      </c>
      <c r="F16" s="445">
        <v>168219.98</v>
      </c>
      <c r="G16" s="413">
        <f t="shared" si="1"/>
        <v>917560.12</v>
      </c>
      <c r="H16" s="413">
        <f t="shared" si="2"/>
        <v>738359.87999999977</v>
      </c>
      <c r="I16" s="414"/>
    </row>
    <row r="17" spans="1:9" s="330" customFormat="1" ht="12.75" customHeight="1" x14ac:dyDescent="0.25">
      <c r="A17" s="415" t="s">
        <v>936</v>
      </c>
      <c r="B17" s="480">
        <v>45847</v>
      </c>
      <c r="C17" s="417" t="s">
        <v>937</v>
      </c>
      <c r="D17" s="418"/>
      <c r="E17" s="418">
        <f t="shared" si="0"/>
        <v>1655920</v>
      </c>
      <c r="F17" s="419">
        <v>174588.94</v>
      </c>
      <c r="G17" s="420">
        <f t="shared" si="1"/>
        <v>1092149.06</v>
      </c>
      <c r="H17" s="420">
        <f t="shared" si="2"/>
        <v>563770.93999999971</v>
      </c>
      <c r="I17" s="421" t="s">
        <v>1015</v>
      </c>
    </row>
    <row r="18" spans="1:9" s="330" customFormat="1" ht="12.75" customHeight="1" x14ac:dyDescent="0.25">
      <c r="A18" s="408" t="s">
        <v>1043</v>
      </c>
      <c r="B18" s="409">
        <v>45890</v>
      </c>
      <c r="C18" s="410" t="s">
        <v>1017</v>
      </c>
      <c r="D18" s="494">
        <v>0</v>
      </c>
      <c r="E18" s="412">
        <f t="shared" si="0"/>
        <v>1655920</v>
      </c>
      <c r="F18" s="422"/>
      <c r="G18" s="413">
        <f t="shared" si="1"/>
        <v>1092149.06</v>
      </c>
      <c r="H18" s="413">
        <f t="shared" si="2"/>
        <v>563770.93999999971</v>
      </c>
      <c r="I18" s="414"/>
    </row>
    <row r="19" spans="1:9" s="330" customFormat="1" ht="12.75" customHeight="1" x14ac:dyDescent="0.25">
      <c r="A19" s="408" t="s">
        <v>1183</v>
      </c>
      <c r="B19" s="409">
        <v>45918</v>
      </c>
      <c r="C19" s="410" t="s">
        <v>1184</v>
      </c>
      <c r="D19" s="412"/>
      <c r="E19" s="412">
        <f t="shared" si="0"/>
        <v>1655920</v>
      </c>
      <c r="F19" s="445">
        <v>194627.19</v>
      </c>
      <c r="G19" s="413">
        <f t="shared" si="1"/>
        <v>1286776.25</v>
      </c>
      <c r="H19" s="413">
        <f t="shared" si="2"/>
        <v>369143.74999999971</v>
      </c>
      <c r="I19" s="414"/>
    </row>
    <row r="20" spans="1:9" s="330" customFormat="1" ht="12.75" customHeight="1" x14ac:dyDescent="0.25">
      <c r="A20" s="408" t="s">
        <v>1190</v>
      </c>
      <c r="B20" s="409">
        <v>45919</v>
      </c>
      <c r="C20" s="410" t="s">
        <v>1191</v>
      </c>
      <c r="D20" s="412"/>
      <c r="E20" s="412">
        <f t="shared" si="0"/>
        <v>1655920</v>
      </c>
      <c r="F20" s="445">
        <v>71457.81</v>
      </c>
      <c r="G20" s="413">
        <f t="shared" si="1"/>
        <v>1358234.06</v>
      </c>
      <c r="H20" s="413">
        <f t="shared" si="2"/>
        <v>297685.93999999971</v>
      </c>
      <c r="I20" s="414"/>
    </row>
    <row r="21" spans="1:9" s="330" customFormat="1" ht="12.75" customHeight="1" x14ac:dyDescent="0.25">
      <c r="A21" s="408" t="s">
        <v>1043</v>
      </c>
      <c r="B21" s="409">
        <v>45929</v>
      </c>
      <c r="C21" s="410" t="s">
        <v>403</v>
      </c>
      <c r="D21" s="411">
        <v>24383</v>
      </c>
      <c r="E21" s="412">
        <f t="shared" si="0"/>
        <v>1680303</v>
      </c>
      <c r="F21" s="445"/>
      <c r="G21" s="413">
        <f t="shared" si="1"/>
        <v>1358234.06</v>
      </c>
      <c r="H21" s="413">
        <f t="shared" si="2"/>
        <v>322068.93999999971</v>
      </c>
      <c r="I21" s="414"/>
    </row>
    <row r="22" spans="1:9" s="330" customFormat="1" ht="12.75" customHeight="1" x14ac:dyDescent="0.25">
      <c r="A22" s="408" t="s">
        <v>1241</v>
      </c>
      <c r="B22" s="409">
        <v>45938</v>
      </c>
      <c r="C22" s="410" t="s">
        <v>1242</v>
      </c>
      <c r="D22" s="412"/>
      <c r="E22" s="412">
        <f t="shared" si="0"/>
        <v>1680303</v>
      </c>
      <c r="F22" s="445">
        <v>116406.9</v>
      </c>
      <c r="G22" s="413">
        <f t="shared" si="1"/>
        <v>1474640.96</v>
      </c>
      <c r="H22" s="413">
        <f t="shared" si="2"/>
        <v>205662.03999999972</v>
      </c>
      <c r="I22" s="414"/>
    </row>
    <row r="23" spans="1:9" s="330" customFormat="1" ht="12.75" customHeight="1" x14ac:dyDescent="0.25">
      <c r="A23" s="408" t="s">
        <v>1331</v>
      </c>
      <c r="B23" s="409">
        <v>45973</v>
      </c>
      <c r="C23" s="410" t="s">
        <v>1330</v>
      </c>
      <c r="D23" s="412"/>
      <c r="E23" s="412">
        <f t="shared" si="0"/>
        <v>1680303</v>
      </c>
      <c r="F23" s="445">
        <v>103439.5</v>
      </c>
      <c r="G23" s="413">
        <f t="shared" si="1"/>
        <v>1578080.46</v>
      </c>
      <c r="H23" s="413">
        <f t="shared" si="2"/>
        <v>102222.53999999972</v>
      </c>
      <c r="I23" s="414"/>
    </row>
    <row r="24" spans="1:9" s="330" customFormat="1" ht="12.75" customHeight="1" x14ac:dyDescent="0.25">
      <c r="A24" s="408" t="s">
        <v>1437</v>
      </c>
      <c r="B24" s="409">
        <v>46013</v>
      </c>
      <c r="C24" s="410" t="s">
        <v>1438</v>
      </c>
      <c r="D24" s="412"/>
      <c r="E24" s="412">
        <f t="shared" si="0"/>
        <v>1680303</v>
      </c>
      <c r="F24" s="445">
        <v>34308.97</v>
      </c>
      <c r="G24" s="413">
        <f t="shared" si="1"/>
        <v>1612389.43</v>
      </c>
      <c r="H24" s="413">
        <f t="shared" si="2"/>
        <v>67913.569999999716</v>
      </c>
      <c r="I24" s="414"/>
    </row>
    <row r="25" spans="1:9" s="330" customFormat="1" ht="12.75" customHeight="1" x14ac:dyDescent="0.25">
      <c r="A25" s="408" t="s">
        <v>1478</v>
      </c>
      <c r="B25" s="409">
        <v>46034</v>
      </c>
      <c r="C25" s="410" t="s">
        <v>1479</v>
      </c>
      <c r="D25" s="412"/>
      <c r="E25" s="412">
        <f t="shared" si="0"/>
        <v>1680303</v>
      </c>
      <c r="F25" s="445">
        <v>66913.570000000007</v>
      </c>
      <c r="G25" s="413">
        <f t="shared" si="1"/>
        <v>1679303</v>
      </c>
      <c r="H25" s="413">
        <f t="shared" si="2"/>
        <v>999.99999999970896</v>
      </c>
      <c r="I25" s="414"/>
    </row>
    <row r="26" spans="1:9" s="330" customFormat="1" ht="12.75" customHeight="1" x14ac:dyDescent="0.25">
      <c r="A26" s="408"/>
      <c r="B26" s="409"/>
      <c r="C26" s="410"/>
      <c r="D26" s="412"/>
      <c r="E26" s="412">
        <f t="shared" si="0"/>
        <v>1680303</v>
      </c>
      <c r="F26" s="445"/>
      <c r="G26" s="413">
        <f t="shared" si="1"/>
        <v>1679303</v>
      </c>
      <c r="H26" s="413">
        <f t="shared" si="2"/>
        <v>999.99999999970896</v>
      </c>
      <c r="I26" s="414"/>
    </row>
    <row r="27" spans="1:9" s="330" customFormat="1" ht="12.75" customHeight="1" x14ac:dyDescent="0.25">
      <c r="A27" s="408"/>
      <c r="B27" s="409"/>
      <c r="C27" s="410"/>
      <c r="D27" s="412"/>
      <c r="E27" s="412">
        <f t="shared" si="0"/>
        <v>1680303</v>
      </c>
      <c r="F27" s="445"/>
      <c r="G27" s="413">
        <f t="shared" si="1"/>
        <v>1679303</v>
      </c>
      <c r="H27" s="413">
        <f t="shared" si="2"/>
        <v>999.99999999970896</v>
      </c>
      <c r="I27" s="414"/>
    </row>
    <row r="28" spans="1:9" s="330" customFormat="1" ht="12.75" customHeight="1" x14ac:dyDescent="0.25">
      <c r="A28" s="408"/>
      <c r="B28" s="409"/>
      <c r="C28" s="410"/>
      <c r="D28" s="412"/>
      <c r="E28" s="412">
        <f t="shared" si="0"/>
        <v>1680303</v>
      </c>
      <c r="F28" s="422"/>
      <c r="G28" s="413">
        <f t="shared" si="1"/>
        <v>1679303</v>
      </c>
      <c r="H28" s="413">
        <f t="shared" si="2"/>
        <v>999.99999999970896</v>
      </c>
      <c r="I28" s="414"/>
    </row>
    <row r="29" spans="1:9" s="330" customFormat="1" ht="12.75" customHeight="1" x14ac:dyDescent="0.25">
      <c r="A29" s="408"/>
      <c r="B29" s="410"/>
      <c r="C29" s="425"/>
      <c r="D29" s="413"/>
      <c r="E29" s="413"/>
      <c r="F29" s="413"/>
      <c r="G29" s="413"/>
      <c r="H29" s="413"/>
      <c r="I29" s="414"/>
    </row>
    <row r="30" spans="1:9" s="330" customFormat="1" ht="12.75" customHeight="1" thickBot="1" x14ac:dyDescent="0.3">
      <c r="A30" s="408"/>
      <c r="B30" s="449"/>
      <c r="C30" s="450" t="s">
        <v>54</v>
      </c>
      <c r="D30" s="426">
        <f>SUM(D9:D29)</f>
        <v>1680303</v>
      </c>
      <c r="E30" s="426"/>
      <c r="F30" s="426">
        <f>SUM(F9:F29)</f>
        <v>1679303</v>
      </c>
      <c r="G30" s="426"/>
      <c r="H30" s="426">
        <f>D30-F30</f>
        <v>1000</v>
      </c>
      <c r="I30" s="414"/>
    </row>
    <row r="31" spans="1:9" s="330" customFormat="1" ht="12.75" customHeight="1" thickTop="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t="s">
        <v>297</v>
      </c>
      <c r="D33" s="413">
        <v>13800</v>
      </c>
      <c r="E33" s="413"/>
      <c r="F33" s="413">
        <f>13800</f>
        <v>13800</v>
      </c>
      <c r="G33" s="413"/>
      <c r="H33" s="413">
        <f t="shared" ref="H33:H39" si="3">D33-F33</f>
        <v>0</v>
      </c>
      <c r="I33" s="414"/>
    </row>
    <row r="34" spans="1:9" s="330" customFormat="1" ht="12.75" customHeight="1" x14ac:dyDescent="0.25">
      <c r="A34" s="408"/>
      <c r="B34" s="410"/>
      <c r="C34" s="425" t="s">
        <v>298</v>
      </c>
      <c r="D34" s="413">
        <v>292500</v>
      </c>
      <c r="E34" s="413"/>
      <c r="F34" s="413">
        <f>34869.78+76873.59+108849.74+71906.89</f>
        <v>292500</v>
      </c>
      <c r="G34" s="413"/>
      <c r="H34" s="413">
        <f t="shared" si="3"/>
        <v>0</v>
      </c>
      <c r="I34" s="414"/>
    </row>
    <row r="35" spans="1:9" s="330" customFormat="1" ht="12.75" customHeight="1" x14ac:dyDescent="0.25">
      <c r="A35" s="408"/>
      <c r="B35" s="410"/>
      <c r="C35" s="425" t="s">
        <v>299</v>
      </c>
      <c r="D35" s="413">
        <v>561000</v>
      </c>
      <c r="E35" s="413"/>
      <c r="F35" s="413">
        <f>30699.88+235581.5+190558.76+89412.35+14747.51</f>
        <v>561000</v>
      </c>
      <c r="G35" s="413"/>
      <c r="H35" s="413">
        <f t="shared" si="3"/>
        <v>0</v>
      </c>
      <c r="I35" s="414"/>
    </row>
    <row r="36" spans="1:9" s="330" customFormat="1" ht="12.75" customHeight="1" x14ac:dyDescent="0.25">
      <c r="A36" s="408"/>
      <c r="B36" s="410"/>
      <c r="C36" s="425" t="s">
        <v>528</v>
      </c>
      <c r="D36" s="413">
        <v>707000</v>
      </c>
      <c r="E36" s="413"/>
      <c r="F36" s="413">
        <f>78807.63+174588.94+179879.68+59613.42+85282.99+83884.5+8091.57+36851.27</f>
        <v>707000</v>
      </c>
      <c r="G36" s="413"/>
      <c r="H36" s="413">
        <f t="shared" si="3"/>
        <v>0</v>
      </c>
      <c r="I36" s="414"/>
    </row>
    <row r="37" spans="1:9" s="330" customFormat="1" ht="12.75" customHeight="1" x14ac:dyDescent="0.25">
      <c r="A37" s="408"/>
      <c r="B37" s="410"/>
      <c r="C37" s="425" t="s">
        <v>300</v>
      </c>
      <c r="D37" s="413">
        <v>50000</v>
      </c>
      <c r="E37" s="413"/>
      <c r="F37" s="413">
        <f>25492.16+23507.84</f>
        <v>49000</v>
      </c>
      <c r="G37" s="413"/>
      <c r="H37" s="413">
        <f t="shared" si="3"/>
        <v>1000</v>
      </c>
      <c r="I37" s="414"/>
    </row>
    <row r="38" spans="1:9" s="330" customFormat="1" ht="12.75" customHeight="1" x14ac:dyDescent="0.25">
      <c r="A38" s="408"/>
      <c r="B38" s="410"/>
      <c r="C38" s="425" t="s">
        <v>301</v>
      </c>
      <c r="D38" s="413">
        <v>31620</v>
      </c>
      <c r="E38" s="413"/>
      <c r="F38" s="413">
        <f>11844.39+12495.91+725.24+6554.46</f>
        <v>31620</v>
      </c>
      <c r="G38" s="413"/>
      <c r="H38" s="413">
        <f t="shared" si="3"/>
        <v>0</v>
      </c>
      <c r="I38" s="414"/>
    </row>
    <row r="39" spans="1:9" s="330" customFormat="1" ht="12.75" customHeight="1" x14ac:dyDescent="0.25">
      <c r="A39" s="408"/>
      <c r="B39" s="410"/>
      <c r="C39" s="425" t="s">
        <v>403</v>
      </c>
      <c r="D39" s="413">
        <v>24383</v>
      </c>
      <c r="E39" s="413"/>
      <c r="F39" s="413">
        <f>18628+5755</f>
        <v>24383</v>
      </c>
      <c r="G39" s="413"/>
      <c r="H39" s="413">
        <f t="shared" si="3"/>
        <v>0</v>
      </c>
      <c r="I39" s="414"/>
    </row>
    <row r="40" spans="1:9" s="330" customFormat="1" ht="12.75" customHeight="1" thickBot="1" x14ac:dyDescent="0.3">
      <c r="A40" s="408"/>
      <c r="B40" s="410"/>
      <c r="C40" s="424" t="s">
        <v>555</v>
      </c>
      <c r="D40" s="426">
        <f>SUM(D33:D39)</f>
        <v>1680303</v>
      </c>
      <c r="E40" s="427"/>
      <c r="F40" s="426">
        <f>SUM(F33:F39)</f>
        <v>1679303</v>
      </c>
      <c r="G40" s="427"/>
      <c r="H40" s="426">
        <f>SUM(H33:H39)</f>
        <v>1000</v>
      </c>
      <c r="I40" s="491"/>
    </row>
    <row r="41" spans="1:9" s="330" customFormat="1" ht="12.75" customHeight="1" thickTop="1" x14ac:dyDescent="0.25">
      <c r="A41" s="408"/>
      <c r="B41" s="410"/>
      <c r="C41" s="425"/>
      <c r="D41" s="413"/>
      <c r="E41" s="413"/>
      <c r="F41" s="413"/>
      <c r="G41" s="413"/>
      <c r="H41" s="413"/>
      <c r="I41" s="414"/>
    </row>
    <row r="42" spans="1:9" s="330" customFormat="1" ht="12.75" customHeight="1" x14ac:dyDescent="0.25">
      <c r="A42" s="408"/>
      <c r="B42" s="410"/>
      <c r="C42" s="425"/>
      <c r="D42" s="413"/>
      <c r="E42" s="413"/>
      <c r="F42" s="413"/>
      <c r="G42" s="413"/>
      <c r="H42" s="413"/>
      <c r="I42" s="414"/>
    </row>
    <row r="43" spans="1:9" s="330" customFormat="1" ht="12.75" customHeight="1" x14ac:dyDescent="0.25">
      <c r="A43" s="408"/>
      <c r="B43" s="410"/>
      <c r="C43" s="425"/>
      <c r="D43" s="459"/>
      <c r="E43" s="408"/>
      <c r="F43" s="461"/>
      <c r="G43" s="461"/>
      <c r="H43" s="459"/>
      <c r="I43" s="414"/>
    </row>
    <row r="44" spans="1:9" x14ac:dyDescent="0.25">
      <c r="A44" s="321" t="s">
        <v>1334</v>
      </c>
      <c r="B44" s="146"/>
      <c r="C44" s="152"/>
      <c r="D44" s="133"/>
      <c r="E44" s="144"/>
      <c r="F44" s="155"/>
      <c r="G44" s="155"/>
      <c r="H44" s="133"/>
      <c r="I44"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4">
    <pageSetUpPr fitToPage="1"/>
  </sheetPr>
  <dimension ref="A1:I5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310</v>
      </c>
      <c r="B4" s="126"/>
      <c r="C4" s="127"/>
      <c r="D4" s="128" t="s">
        <v>311</v>
      </c>
      <c r="E4" s="124"/>
      <c r="F4" s="124"/>
      <c r="G4" s="124"/>
      <c r="H4" s="125"/>
      <c r="I4" s="125"/>
    </row>
    <row r="5" spans="1:9" ht="15.75" x14ac:dyDescent="0.25">
      <c r="A5" s="129" t="s">
        <v>109</v>
      </c>
      <c r="B5" s="130"/>
      <c r="C5" s="131"/>
      <c r="D5" s="176" t="s">
        <v>195</v>
      </c>
      <c r="E5" s="133"/>
      <c r="F5" s="134"/>
      <c r="G5" s="134"/>
      <c r="H5" s="130"/>
      <c r="I5" s="125"/>
    </row>
    <row r="6" spans="1:9" ht="15.75" x14ac:dyDescent="0.25">
      <c r="A6" s="86" t="str">
        <f>'RECAP #9429.00 '!B6</f>
        <v>Project Manager - James T.</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312</v>
      </c>
      <c r="B9" s="409">
        <v>45604</v>
      </c>
      <c r="C9" s="410" t="s">
        <v>107</v>
      </c>
      <c r="D9" s="411">
        <v>211990</v>
      </c>
      <c r="E9" s="412">
        <f>D9</f>
        <v>211990</v>
      </c>
      <c r="F9" s="413"/>
      <c r="G9" s="413"/>
      <c r="H9" s="413">
        <f>E9</f>
        <v>211990</v>
      </c>
      <c r="I9" s="414"/>
    </row>
    <row r="10" spans="1:9" s="330" customFormat="1" ht="12.75" customHeight="1" x14ac:dyDescent="0.25">
      <c r="A10" s="408" t="s">
        <v>569</v>
      </c>
      <c r="B10" s="240">
        <v>45729</v>
      </c>
      <c r="C10" s="410" t="s">
        <v>570</v>
      </c>
      <c r="D10" s="412"/>
      <c r="E10" s="412">
        <f t="shared" ref="E10:E24" si="0">E9+D10</f>
        <v>211990</v>
      </c>
      <c r="F10" s="445">
        <v>41180</v>
      </c>
      <c r="G10" s="413">
        <f t="shared" ref="G10:G24" si="1">G9+F10</f>
        <v>41180</v>
      </c>
      <c r="H10" s="413">
        <f t="shared" ref="H10:H24" si="2">H9-F10+D10</f>
        <v>170810</v>
      </c>
      <c r="I10" s="414"/>
    </row>
    <row r="11" spans="1:9" s="330" customFormat="1" ht="12.75" customHeight="1" x14ac:dyDescent="0.25">
      <c r="A11" s="408" t="s">
        <v>645</v>
      </c>
      <c r="B11" s="409">
        <v>45755</v>
      </c>
      <c r="C11" s="410" t="s">
        <v>646</v>
      </c>
      <c r="D11" s="412"/>
      <c r="E11" s="412">
        <f t="shared" si="0"/>
        <v>211990</v>
      </c>
      <c r="F11" s="445">
        <v>9800</v>
      </c>
      <c r="G11" s="413">
        <f t="shared" si="1"/>
        <v>50980</v>
      </c>
      <c r="H11" s="413">
        <f t="shared" si="2"/>
        <v>161010</v>
      </c>
      <c r="I11" s="414"/>
    </row>
    <row r="12" spans="1:9" s="330" customFormat="1" ht="12.75" customHeight="1" x14ac:dyDescent="0.25">
      <c r="A12" s="408" t="s">
        <v>743</v>
      </c>
      <c r="B12" s="409">
        <v>45789</v>
      </c>
      <c r="C12" s="410" t="s">
        <v>744</v>
      </c>
      <c r="D12" s="412"/>
      <c r="E12" s="412">
        <f t="shared" si="0"/>
        <v>211990</v>
      </c>
      <c r="F12" s="445">
        <v>6470</v>
      </c>
      <c r="G12" s="413">
        <f t="shared" si="1"/>
        <v>57450</v>
      </c>
      <c r="H12" s="413">
        <f t="shared" si="2"/>
        <v>154540</v>
      </c>
      <c r="I12" s="414"/>
    </row>
    <row r="13" spans="1:9" s="330" customFormat="1" ht="12.75" customHeight="1" x14ac:dyDescent="0.25">
      <c r="A13" s="408" t="s">
        <v>830</v>
      </c>
      <c r="B13" s="409">
        <v>45818</v>
      </c>
      <c r="C13" s="410" t="s">
        <v>831</v>
      </c>
      <c r="D13" s="412"/>
      <c r="E13" s="412">
        <f t="shared" si="0"/>
        <v>211990</v>
      </c>
      <c r="F13" s="445">
        <v>27840</v>
      </c>
      <c r="G13" s="413">
        <f t="shared" si="1"/>
        <v>85290</v>
      </c>
      <c r="H13" s="413">
        <f t="shared" si="2"/>
        <v>126700</v>
      </c>
      <c r="I13" s="414"/>
    </row>
    <row r="14" spans="1:9" s="330" customFormat="1" ht="12.75" customHeight="1" x14ac:dyDescent="0.25">
      <c r="A14" s="415" t="s">
        <v>934</v>
      </c>
      <c r="B14" s="480">
        <v>45847</v>
      </c>
      <c r="C14" s="417" t="s">
        <v>935</v>
      </c>
      <c r="D14" s="418"/>
      <c r="E14" s="418">
        <f t="shared" si="0"/>
        <v>211990</v>
      </c>
      <c r="F14" s="419">
        <v>14840</v>
      </c>
      <c r="G14" s="420">
        <f t="shared" si="1"/>
        <v>100130</v>
      </c>
      <c r="H14" s="420">
        <f t="shared" si="2"/>
        <v>111860</v>
      </c>
      <c r="I14" s="421" t="s">
        <v>1015</v>
      </c>
    </row>
    <row r="15" spans="1:9" s="330" customFormat="1" ht="12.75" customHeight="1" x14ac:dyDescent="0.25">
      <c r="A15" s="408" t="s">
        <v>1044</v>
      </c>
      <c r="B15" s="409">
        <v>45890</v>
      </c>
      <c r="C15" s="410" t="s">
        <v>1017</v>
      </c>
      <c r="D15" s="494">
        <v>0</v>
      </c>
      <c r="E15" s="412">
        <f t="shared" si="0"/>
        <v>211990</v>
      </c>
      <c r="F15" s="422"/>
      <c r="G15" s="413">
        <f t="shared" si="1"/>
        <v>100130</v>
      </c>
      <c r="H15" s="413">
        <f t="shared" si="2"/>
        <v>111860</v>
      </c>
      <c r="I15" s="414"/>
    </row>
    <row r="16" spans="1:9" s="330" customFormat="1" ht="12.75" customHeight="1" x14ac:dyDescent="0.25">
      <c r="A16" s="408" t="s">
        <v>1098</v>
      </c>
      <c r="B16" s="409">
        <v>45910</v>
      </c>
      <c r="C16" s="522" t="s">
        <v>1099</v>
      </c>
      <c r="D16" s="412"/>
      <c r="E16" s="412">
        <f t="shared" si="0"/>
        <v>211990</v>
      </c>
      <c r="F16" s="445">
        <v>8960</v>
      </c>
      <c r="G16" s="413">
        <f t="shared" si="1"/>
        <v>109090</v>
      </c>
      <c r="H16" s="413">
        <f t="shared" si="2"/>
        <v>102900</v>
      </c>
      <c r="I16" s="414"/>
    </row>
    <row r="17" spans="1:9" s="330" customFormat="1" ht="12.75" customHeight="1" x14ac:dyDescent="0.25">
      <c r="A17" s="408" t="s">
        <v>1144</v>
      </c>
      <c r="B17" s="409">
        <v>45915</v>
      </c>
      <c r="C17" s="410" t="s">
        <v>1145</v>
      </c>
      <c r="D17" s="412"/>
      <c r="E17" s="412">
        <f t="shared" si="0"/>
        <v>211990</v>
      </c>
      <c r="F17" s="445">
        <v>12870</v>
      </c>
      <c r="G17" s="413">
        <f t="shared" si="1"/>
        <v>121960</v>
      </c>
      <c r="H17" s="413">
        <f t="shared" si="2"/>
        <v>90030</v>
      </c>
      <c r="I17" s="414"/>
    </row>
    <row r="18" spans="1:9" s="330" customFormat="1" ht="12.75" customHeight="1" x14ac:dyDescent="0.25">
      <c r="A18" s="408" t="s">
        <v>1210</v>
      </c>
      <c r="B18" s="409">
        <v>45929</v>
      </c>
      <c r="C18" s="410" t="s">
        <v>1211</v>
      </c>
      <c r="D18" s="412"/>
      <c r="E18" s="412">
        <f t="shared" si="0"/>
        <v>211990</v>
      </c>
      <c r="F18" s="445">
        <v>16620</v>
      </c>
      <c r="G18" s="413">
        <f t="shared" si="1"/>
        <v>138580</v>
      </c>
      <c r="H18" s="413">
        <f t="shared" si="2"/>
        <v>73410</v>
      </c>
      <c r="I18" s="414"/>
    </row>
    <row r="19" spans="1:9" s="330" customFormat="1" ht="12.75" customHeight="1" x14ac:dyDescent="0.25">
      <c r="A19" s="408" t="s">
        <v>1391</v>
      </c>
      <c r="B19" s="409">
        <v>45999</v>
      </c>
      <c r="C19" s="410" t="s">
        <v>1392</v>
      </c>
      <c r="D19" s="412"/>
      <c r="E19" s="412">
        <f t="shared" si="0"/>
        <v>211990</v>
      </c>
      <c r="F19" s="445">
        <v>14680</v>
      </c>
      <c r="G19" s="413">
        <f t="shared" si="1"/>
        <v>153260</v>
      </c>
      <c r="H19" s="413">
        <f t="shared" si="2"/>
        <v>58730</v>
      </c>
      <c r="I19" s="414"/>
    </row>
    <row r="20" spans="1:9" s="330" customFormat="1" ht="12.75" customHeight="1" x14ac:dyDescent="0.25">
      <c r="A20" s="408" t="s">
        <v>1433</v>
      </c>
      <c r="B20" s="409">
        <v>46009</v>
      </c>
      <c r="C20" s="410" t="s">
        <v>1434</v>
      </c>
      <c r="D20" s="412"/>
      <c r="E20" s="412">
        <f t="shared" si="0"/>
        <v>211990</v>
      </c>
      <c r="F20" s="445">
        <v>33680</v>
      </c>
      <c r="G20" s="413">
        <f t="shared" si="1"/>
        <v>186940</v>
      </c>
      <c r="H20" s="413">
        <f t="shared" si="2"/>
        <v>25050</v>
      </c>
      <c r="I20" s="414"/>
    </row>
    <row r="21" spans="1:9" s="330" customFormat="1" ht="12.75" customHeight="1" x14ac:dyDescent="0.25">
      <c r="A21" s="408" t="s">
        <v>1502</v>
      </c>
      <c r="B21" s="409">
        <v>46042</v>
      </c>
      <c r="C21" s="410" t="s">
        <v>1503</v>
      </c>
      <c r="D21" s="412"/>
      <c r="E21" s="412">
        <f t="shared" si="0"/>
        <v>211990</v>
      </c>
      <c r="F21" s="445">
        <v>18340</v>
      </c>
      <c r="G21" s="413">
        <f t="shared" si="1"/>
        <v>205280</v>
      </c>
      <c r="H21" s="413">
        <f t="shared" si="2"/>
        <v>6710</v>
      </c>
      <c r="I21" s="414"/>
    </row>
    <row r="22" spans="1:9" s="330" customFormat="1" ht="12.75" customHeight="1" x14ac:dyDescent="0.25">
      <c r="A22" s="408" t="s">
        <v>1661</v>
      </c>
      <c r="B22" s="409">
        <v>46090</v>
      </c>
      <c r="C22" s="410" t="s">
        <v>1662</v>
      </c>
      <c r="D22" s="412"/>
      <c r="E22" s="412">
        <f t="shared" si="0"/>
        <v>211990</v>
      </c>
      <c r="F22" s="445">
        <v>3390</v>
      </c>
      <c r="G22" s="413">
        <f t="shared" si="1"/>
        <v>208670</v>
      </c>
      <c r="H22" s="413">
        <f t="shared" si="2"/>
        <v>3320</v>
      </c>
      <c r="I22" s="414"/>
    </row>
    <row r="23" spans="1:9" s="330" customFormat="1" ht="12.75" customHeight="1" x14ac:dyDescent="0.25">
      <c r="A23" s="408" t="s">
        <v>1044</v>
      </c>
      <c r="B23" s="409">
        <v>46140</v>
      </c>
      <c r="C23" s="410" t="s">
        <v>301</v>
      </c>
      <c r="D23" s="494">
        <v>2920</v>
      </c>
      <c r="E23" s="412">
        <f t="shared" si="0"/>
        <v>214910</v>
      </c>
      <c r="F23" s="445"/>
      <c r="G23" s="413">
        <f t="shared" si="1"/>
        <v>208670</v>
      </c>
      <c r="H23" s="413">
        <f t="shared" si="2"/>
        <v>6240</v>
      </c>
      <c r="I23" s="414"/>
    </row>
    <row r="24" spans="1:9" s="330" customFormat="1" ht="12.75" customHeight="1" x14ac:dyDescent="0.25">
      <c r="A24" s="408"/>
      <c r="B24" s="409"/>
      <c r="C24" s="410"/>
      <c r="D24" s="412"/>
      <c r="E24" s="412">
        <f t="shared" si="0"/>
        <v>214910</v>
      </c>
      <c r="F24" s="445"/>
      <c r="G24" s="413">
        <f t="shared" si="1"/>
        <v>208670</v>
      </c>
      <c r="H24" s="413">
        <f t="shared" si="2"/>
        <v>6240</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54</v>
      </c>
      <c r="D26" s="426">
        <f>SUM(D9:D25)</f>
        <v>214910</v>
      </c>
      <c r="E26" s="426"/>
      <c r="F26" s="426">
        <f>SUM(F9:F25)</f>
        <v>208670</v>
      </c>
      <c r="G26" s="426"/>
      <c r="H26" s="426">
        <f>D26-F26</f>
        <v>6240</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t="s">
        <v>192</v>
      </c>
      <c r="D29" s="413">
        <v>208740</v>
      </c>
      <c r="E29" s="413"/>
      <c r="F29" s="413">
        <f>41180+9800+6470+27840+14840+8960+12870+16620+14680+33680+18340+3390</f>
        <v>208670</v>
      </c>
      <c r="G29" s="413"/>
      <c r="H29" s="413">
        <f>D29-F29</f>
        <v>70</v>
      </c>
      <c r="I29" s="414"/>
    </row>
    <row r="30" spans="1:9" s="330" customFormat="1" ht="12.75" customHeight="1" x14ac:dyDescent="0.25">
      <c r="A30" s="408"/>
      <c r="B30" s="410"/>
      <c r="C30" s="425" t="s">
        <v>118</v>
      </c>
      <c r="D30" s="413">
        <v>3250</v>
      </c>
      <c r="E30" s="413"/>
      <c r="F30" s="413"/>
      <c r="G30" s="413"/>
      <c r="H30" s="413">
        <f>D30-F30</f>
        <v>3250</v>
      </c>
      <c r="I30" s="414"/>
    </row>
    <row r="31" spans="1:9" s="330" customFormat="1" ht="12.75" customHeight="1" x14ac:dyDescent="0.25">
      <c r="A31" s="408"/>
      <c r="B31" s="410"/>
      <c r="C31" s="425" t="s">
        <v>301</v>
      </c>
      <c r="D31" s="413">
        <v>2920</v>
      </c>
      <c r="E31" s="413"/>
      <c r="F31" s="413"/>
      <c r="G31" s="413"/>
      <c r="H31" s="413">
        <f>D31-F31</f>
        <v>2920</v>
      </c>
      <c r="I31" s="414"/>
    </row>
    <row r="32" spans="1:9" s="330" customFormat="1" ht="12.75" customHeight="1" thickBot="1" x14ac:dyDescent="0.3">
      <c r="A32" s="408"/>
      <c r="B32" s="410"/>
      <c r="C32" s="424" t="s">
        <v>555</v>
      </c>
      <c r="D32" s="426">
        <f>SUM(D29:D31)</f>
        <v>214910</v>
      </c>
      <c r="E32" s="427"/>
      <c r="F32" s="426">
        <f>SUM(F29:F31)</f>
        <v>208670</v>
      </c>
      <c r="G32" s="427"/>
      <c r="H32" s="426">
        <f>SUM(H29:H31)</f>
        <v>6240</v>
      </c>
      <c r="I32" s="41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5">
    <tabColor rgb="FF0070C0"/>
    <pageSetUpPr fitToPage="1"/>
  </sheetPr>
  <dimension ref="A1:I27"/>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5" style="282" bestFit="1" customWidth="1"/>
    <col min="4" max="4" width="14.42578125" style="282" customWidth="1"/>
    <col min="5" max="5" width="13.5703125" style="282" customWidth="1"/>
    <col min="6" max="6" width="12.42578125" style="282" customWidth="1"/>
    <col min="7" max="7" width="10.5703125" style="282" customWidth="1"/>
    <col min="8" max="8" width="15.28515625" style="282" customWidth="1"/>
    <col min="9" max="9" width="5.7109375" style="282" customWidth="1"/>
    <col min="10" max="16384" width="11.42578125" style="282"/>
  </cols>
  <sheetData>
    <row r="1" spans="1:9" ht="15.75" x14ac:dyDescent="0.25">
      <c r="A1" s="109" t="str">
        <f>'RECAP #9429.00 '!B1</f>
        <v>ANK HHS IMEO Expansion and Renovation</v>
      </c>
      <c r="B1" s="109"/>
      <c r="C1" s="179"/>
      <c r="D1" s="179"/>
      <c r="E1" s="179"/>
      <c r="F1" s="180"/>
      <c r="G1" s="180"/>
      <c r="H1" s="181"/>
      <c r="I1" s="181"/>
    </row>
    <row r="2" spans="1:9" ht="15.75" x14ac:dyDescent="0.25">
      <c r="A2" s="126" t="str">
        <f>'RECAP #9429.00 '!B2</f>
        <v>Project # 9429.00</v>
      </c>
      <c r="B2" s="182"/>
      <c r="C2" s="179"/>
      <c r="D2" s="179"/>
      <c r="E2" s="179"/>
      <c r="F2" s="180"/>
      <c r="G2" s="180"/>
      <c r="H2" s="181"/>
      <c r="I2" s="181"/>
    </row>
    <row r="3" spans="1:9" ht="15.75" x14ac:dyDescent="0.25">
      <c r="A3" s="183" t="str">
        <f>'RECAP #9429.00 '!B3</f>
        <v>Program code 942900</v>
      </c>
      <c r="B3" s="182"/>
      <c r="C3" s="179"/>
      <c r="D3" s="184" t="str">
        <f>'RECAP #9429.00 '!E3</f>
        <v>Major Program 4E02</v>
      </c>
      <c r="E3" s="179"/>
      <c r="F3" s="180"/>
      <c r="G3" s="180"/>
      <c r="H3" s="181"/>
      <c r="I3" s="181"/>
    </row>
    <row r="4" spans="1:9" ht="15.75" x14ac:dyDescent="0.25">
      <c r="A4" s="109" t="s">
        <v>700</v>
      </c>
      <c r="B4" s="126"/>
      <c r="C4" s="181"/>
      <c r="D4" s="185" t="s">
        <v>704</v>
      </c>
      <c r="E4" s="180"/>
      <c r="F4" s="180"/>
      <c r="G4" s="180"/>
      <c r="H4" s="181"/>
      <c r="I4" s="181"/>
    </row>
    <row r="5" spans="1:9" ht="15.75" x14ac:dyDescent="0.25">
      <c r="A5" s="186" t="s">
        <v>109</v>
      </c>
      <c r="B5" s="181"/>
      <c r="C5" s="187"/>
      <c r="D5" s="176" t="s">
        <v>701</v>
      </c>
      <c r="E5" s="137"/>
      <c r="F5" s="180"/>
      <c r="G5" s="180"/>
      <c r="H5" s="181"/>
      <c r="I5" s="181"/>
    </row>
    <row r="6" spans="1:9" ht="15.75" x14ac:dyDescent="0.25">
      <c r="A6" s="126" t="str">
        <f>'RECAP #9429.00 '!B6</f>
        <v>Project Manager - James T.</v>
      </c>
      <c r="B6" s="126"/>
      <c r="C6" s="188"/>
      <c r="D6" s="189" t="s">
        <v>202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702</v>
      </c>
      <c r="B9" s="500">
        <v>45776</v>
      </c>
      <c r="C9" s="501" t="s">
        <v>703</v>
      </c>
      <c r="D9" s="404">
        <v>11089.5</v>
      </c>
      <c r="E9" s="502">
        <f>D9</f>
        <v>11089.5</v>
      </c>
      <c r="F9" s="503"/>
      <c r="G9" s="503"/>
      <c r="H9" s="503">
        <f>E9</f>
        <v>11089.5</v>
      </c>
      <c r="I9" s="504"/>
    </row>
    <row r="10" spans="1:9" s="361" customFormat="1" ht="12.75" customHeight="1" x14ac:dyDescent="0.25">
      <c r="A10" s="505" t="s">
        <v>954</v>
      </c>
      <c r="B10" s="506">
        <v>45853</v>
      </c>
      <c r="C10" s="507" t="s">
        <v>953</v>
      </c>
      <c r="D10" s="509"/>
      <c r="E10" s="508">
        <f t="shared" ref="E10:E21" si="0">E9+D10</f>
        <v>11089.5</v>
      </c>
      <c r="F10" s="509">
        <v>7187</v>
      </c>
      <c r="G10" s="510">
        <f t="shared" ref="G10:G21" si="1">G9+F10</f>
        <v>7187</v>
      </c>
      <c r="H10" s="510">
        <f t="shared" ref="H10:H21" si="2">H9-F10+D10</f>
        <v>3902.5</v>
      </c>
      <c r="I10" s="511" t="s">
        <v>1015</v>
      </c>
    </row>
    <row r="11" spans="1:9" s="361" customFormat="1" ht="12.75" customHeight="1" x14ac:dyDescent="0.25">
      <c r="A11" s="499" t="s">
        <v>1045</v>
      </c>
      <c r="B11" s="500">
        <v>45890</v>
      </c>
      <c r="C11" s="501" t="s">
        <v>1017</v>
      </c>
      <c r="D11" s="512">
        <v>0</v>
      </c>
      <c r="E11" s="502">
        <f t="shared" si="0"/>
        <v>11089.5</v>
      </c>
      <c r="F11" s="406"/>
      <c r="G11" s="503">
        <f t="shared" si="1"/>
        <v>7187</v>
      </c>
      <c r="H11" s="503">
        <f t="shared" si="2"/>
        <v>3902.5</v>
      </c>
      <c r="I11" s="504"/>
    </row>
    <row r="12" spans="1:9" s="361" customFormat="1" ht="12.75" customHeight="1" x14ac:dyDescent="0.25">
      <c r="A12" s="499" t="s">
        <v>1045</v>
      </c>
      <c r="B12" s="500">
        <v>45933</v>
      </c>
      <c r="C12" s="513" t="s">
        <v>301</v>
      </c>
      <c r="D12" s="512">
        <v>7065</v>
      </c>
      <c r="E12" s="502">
        <f t="shared" si="0"/>
        <v>18154.5</v>
      </c>
      <c r="F12" s="406"/>
      <c r="G12" s="503">
        <f t="shared" si="1"/>
        <v>7187</v>
      </c>
      <c r="H12" s="503">
        <f t="shared" si="2"/>
        <v>10967.5</v>
      </c>
      <c r="I12" s="504"/>
    </row>
    <row r="13" spans="1:9" s="361" customFormat="1" ht="12.75" customHeight="1" x14ac:dyDescent="0.25">
      <c r="A13" s="499" t="s">
        <v>1227</v>
      </c>
      <c r="B13" s="500">
        <v>45933</v>
      </c>
      <c r="C13" s="501" t="s">
        <v>1228</v>
      </c>
      <c r="D13" s="502"/>
      <c r="E13" s="502">
        <f t="shared" si="0"/>
        <v>18154.5</v>
      </c>
      <c r="F13" s="406">
        <v>5594.25</v>
      </c>
      <c r="G13" s="503">
        <f t="shared" si="1"/>
        <v>12781.25</v>
      </c>
      <c r="H13" s="503">
        <f t="shared" si="2"/>
        <v>5373.25</v>
      </c>
      <c r="I13" s="504"/>
    </row>
    <row r="14" spans="1:9" s="361" customFormat="1" ht="12.75" customHeight="1" x14ac:dyDescent="0.25">
      <c r="A14" s="499" t="s">
        <v>1449</v>
      </c>
      <c r="B14" s="500">
        <v>46024</v>
      </c>
      <c r="C14" s="501" t="s">
        <v>1450</v>
      </c>
      <c r="D14" s="502"/>
      <c r="E14" s="502">
        <f t="shared" si="0"/>
        <v>18154.5</v>
      </c>
      <c r="F14" s="406">
        <v>3432.5</v>
      </c>
      <c r="G14" s="503">
        <f t="shared" si="1"/>
        <v>16213.75</v>
      </c>
      <c r="H14" s="503">
        <f t="shared" si="2"/>
        <v>1940.75</v>
      </c>
      <c r="I14" s="504"/>
    </row>
    <row r="15" spans="1:9" s="361" customFormat="1" ht="12.75" customHeight="1" x14ac:dyDescent="0.25">
      <c r="A15" s="499" t="s">
        <v>1451</v>
      </c>
      <c r="B15" s="500">
        <v>46024</v>
      </c>
      <c r="C15" s="501" t="s">
        <v>1452</v>
      </c>
      <c r="D15" s="502"/>
      <c r="E15" s="502">
        <f t="shared" si="0"/>
        <v>18154.5</v>
      </c>
      <c r="F15" s="406">
        <v>291.5</v>
      </c>
      <c r="G15" s="503">
        <f t="shared" si="1"/>
        <v>16505.25</v>
      </c>
      <c r="H15" s="503">
        <f t="shared" si="2"/>
        <v>1649.25</v>
      </c>
      <c r="I15" s="504"/>
    </row>
    <row r="16" spans="1:9" s="361" customFormat="1" ht="12.75" customHeight="1" x14ac:dyDescent="0.25">
      <c r="A16" s="499" t="s">
        <v>1453</v>
      </c>
      <c r="B16" s="500">
        <v>46024</v>
      </c>
      <c r="C16" s="501" t="s">
        <v>1454</v>
      </c>
      <c r="D16" s="502"/>
      <c r="E16" s="502">
        <f t="shared" si="0"/>
        <v>18154.5</v>
      </c>
      <c r="F16" s="406">
        <v>1647.5</v>
      </c>
      <c r="G16" s="503">
        <f t="shared" si="1"/>
        <v>18152.75</v>
      </c>
      <c r="H16" s="503">
        <f t="shared" si="2"/>
        <v>1.75</v>
      </c>
      <c r="I16" s="504"/>
    </row>
    <row r="17" spans="1:9" s="361" customFormat="1" ht="12.75" customHeight="1" x14ac:dyDescent="0.25">
      <c r="A17" s="499" t="s">
        <v>1045</v>
      </c>
      <c r="B17" s="500">
        <v>46027</v>
      </c>
      <c r="C17" s="501" t="s">
        <v>1455</v>
      </c>
      <c r="D17" s="512">
        <v>-1.75</v>
      </c>
      <c r="E17" s="502">
        <f t="shared" si="0"/>
        <v>18152.75</v>
      </c>
      <c r="F17" s="406"/>
      <c r="G17" s="503">
        <f t="shared" si="1"/>
        <v>18152.75</v>
      </c>
      <c r="H17" s="503">
        <f t="shared" si="2"/>
        <v>0</v>
      </c>
      <c r="I17" s="504"/>
    </row>
    <row r="18" spans="1:9" s="361" customFormat="1" ht="12.75" customHeight="1" x14ac:dyDescent="0.25">
      <c r="A18" s="499"/>
      <c r="B18" s="500"/>
      <c r="C18" s="501"/>
      <c r="D18" s="502"/>
      <c r="E18" s="502">
        <f t="shared" si="0"/>
        <v>18152.75</v>
      </c>
      <c r="F18" s="406"/>
      <c r="G18" s="503">
        <f t="shared" si="1"/>
        <v>18152.75</v>
      </c>
      <c r="H18" s="503">
        <f t="shared" si="2"/>
        <v>0</v>
      </c>
      <c r="I18" s="504"/>
    </row>
    <row r="19" spans="1:9" s="361" customFormat="1" ht="12.75" customHeight="1" x14ac:dyDescent="0.25">
      <c r="A19" s="499"/>
      <c r="B19" s="500"/>
      <c r="C19" s="501"/>
      <c r="D19" s="502"/>
      <c r="E19" s="502">
        <f t="shared" si="0"/>
        <v>18152.75</v>
      </c>
      <c r="F19" s="503"/>
      <c r="G19" s="503">
        <f t="shared" si="1"/>
        <v>18152.75</v>
      </c>
      <c r="H19" s="503">
        <f t="shared" si="2"/>
        <v>0</v>
      </c>
      <c r="I19" s="504"/>
    </row>
    <row r="20" spans="1:9" s="361" customFormat="1" ht="12.75" customHeight="1" x14ac:dyDescent="0.25">
      <c r="A20" s="499"/>
      <c r="B20" s="500"/>
      <c r="C20" s="501"/>
      <c r="D20" s="502"/>
      <c r="E20" s="502">
        <f t="shared" si="0"/>
        <v>18152.75</v>
      </c>
      <c r="F20" s="503"/>
      <c r="G20" s="503">
        <f t="shared" si="1"/>
        <v>18152.75</v>
      </c>
      <c r="H20" s="503">
        <f t="shared" si="2"/>
        <v>0</v>
      </c>
      <c r="I20" s="504"/>
    </row>
    <row r="21" spans="1:9" s="361" customFormat="1" ht="12.75" customHeight="1" x14ac:dyDescent="0.25">
      <c r="A21" s="499"/>
      <c r="B21" s="500"/>
      <c r="C21" s="514"/>
      <c r="D21" s="502"/>
      <c r="E21" s="502">
        <f t="shared" si="0"/>
        <v>18152.75</v>
      </c>
      <c r="F21" s="503"/>
      <c r="G21" s="503">
        <f t="shared" si="1"/>
        <v>18152.75</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18152.75</v>
      </c>
      <c r="E23" s="405"/>
      <c r="F23" s="405">
        <f>SUM(F9:F22)</f>
        <v>18152.75</v>
      </c>
      <c r="G23" s="405"/>
      <c r="H23" s="405">
        <f>D23-F23</f>
        <v>0</v>
      </c>
      <c r="I23" s="504"/>
    </row>
    <row r="24" spans="1:9" s="361" customFormat="1" ht="12.75" customHeight="1" thickTop="1" x14ac:dyDescent="0.25"/>
    <row r="25" spans="1:9" s="361" customFormat="1" ht="12.75" customHeight="1" x14ac:dyDescent="0.25"/>
    <row r="26" spans="1:9" s="361" customFormat="1" ht="12.75" customHeight="1" x14ac:dyDescent="0.25"/>
    <row r="27" spans="1:9" s="361"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6">
    <tabColor rgb="FF0070C0"/>
    <pageSetUpPr fitToPage="1"/>
  </sheetPr>
  <dimension ref="A1:I29"/>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9.28515625" style="282" customWidth="1"/>
    <col min="4" max="4" width="14.42578125" style="282" customWidth="1"/>
    <col min="5" max="5" width="13.5703125" style="282" customWidth="1"/>
    <col min="6" max="6" width="12.42578125" style="282" customWidth="1"/>
    <col min="7" max="7" width="10.5703125" style="282" customWidth="1"/>
    <col min="8" max="8" width="15.28515625" style="282" customWidth="1"/>
    <col min="9" max="9" width="4.7109375" style="282" customWidth="1"/>
    <col min="10" max="16384" width="11.42578125" style="282"/>
  </cols>
  <sheetData>
    <row r="1" spans="1:9" ht="15.75" x14ac:dyDescent="0.25">
      <c r="A1" s="109" t="str">
        <f>'RECAP #9429.00 '!B1</f>
        <v>ANK HHS IMEO Expansion and Renovation</v>
      </c>
      <c r="B1" s="109"/>
      <c r="C1" s="179"/>
      <c r="D1" s="179"/>
      <c r="E1" s="179"/>
      <c r="F1" s="180"/>
      <c r="G1" s="180"/>
      <c r="H1" s="181"/>
      <c r="I1" s="181"/>
    </row>
    <row r="2" spans="1:9" ht="15.75" x14ac:dyDescent="0.25">
      <c r="A2" s="126" t="str">
        <f>'RECAP #9429.00 '!B2</f>
        <v>Project # 9429.00</v>
      </c>
      <c r="B2" s="182"/>
      <c r="C2" s="179"/>
      <c r="D2" s="179"/>
      <c r="E2" s="179"/>
      <c r="F2" s="180"/>
      <c r="G2" s="180"/>
      <c r="H2" s="181"/>
      <c r="I2" s="181"/>
    </row>
    <row r="3" spans="1:9" ht="15.75" x14ac:dyDescent="0.25">
      <c r="A3" s="183" t="str">
        <f>'RECAP #9429.00 '!B3</f>
        <v>Program code 942900</v>
      </c>
      <c r="B3" s="182"/>
      <c r="C3" s="179"/>
      <c r="D3" s="184" t="str">
        <f>'RECAP #9429.00 '!E3</f>
        <v>Major Program 4E02</v>
      </c>
      <c r="E3" s="179"/>
      <c r="F3" s="180"/>
      <c r="G3" s="180"/>
      <c r="H3" s="181"/>
      <c r="I3" s="181"/>
    </row>
    <row r="4" spans="1:9" ht="15.75" x14ac:dyDescent="0.25">
      <c r="A4" s="109" t="s">
        <v>705</v>
      </c>
      <c r="B4" s="126"/>
      <c r="C4" s="181"/>
      <c r="D4" s="185" t="s">
        <v>704</v>
      </c>
      <c r="E4" s="180"/>
      <c r="F4" s="180"/>
      <c r="G4" s="180"/>
      <c r="H4" s="181"/>
      <c r="I4" s="181"/>
    </row>
    <row r="5" spans="1:9" ht="15.75" x14ac:dyDescent="0.25">
      <c r="A5" s="186" t="s">
        <v>109</v>
      </c>
      <c r="B5" s="181"/>
      <c r="C5" s="187"/>
      <c r="D5" s="176" t="s">
        <v>701</v>
      </c>
      <c r="E5" s="137"/>
      <c r="F5" s="180"/>
      <c r="G5" s="180"/>
      <c r="H5" s="181"/>
      <c r="I5" s="181"/>
    </row>
    <row r="6" spans="1:9" ht="15.75" x14ac:dyDescent="0.25">
      <c r="A6" s="126" t="str">
        <f>'RECAP #9429.00 '!B6</f>
        <v>Project Manager - James T.</v>
      </c>
      <c r="B6" s="126"/>
      <c r="C6" s="188"/>
      <c r="D6" s="189" t="s">
        <v>202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706</v>
      </c>
      <c r="B9" s="500">
        <v>45776</v>
      </c>
      <c r="C9" s="501" t="s">
        <v>703</v>
      </c>
      <c r="D9" s="404">
        <v>8595</v>
      </c>
      <c r="E9" s="502">
        <f>D9</f>
        <v>8595</v>
      </c>
      <c r="F9" s="503"/>
      <c r="G9" s="503"/>
      <c r="H9" s="503">
        <f>E9</f>
        <v>8595</v>
      </c>
      <c r="I9" s="504"/>
    </row>
    <row r="10" spans="1:9" s="361" customFormat="1" ht="12.75" customHeight="1" x14ac:dyDescent="0.25">
      <c r="A10" s="505" t="s">
        <v>955</v>
      </c>
      <c r="B10" s="506">
        <v>45853</v>
      </c>
      <c r="C10" s="507" t="s">
        <v>956</v>
      </c>
      <c r="D10" s="508"/>
      <c r="E10" s="508">
        <f t="shared" ref="E10:E21" si="0">E9+D10</f>
        <v>8595</v>
      </c>
      <c r="F10" s="509">
        <v>6046.25</v>
      </c>
      <c r="G10" s="510">
        <f t="shared" ref="G10:G21" si="1">G9+F10</f>
        <v>6046.25</v>
      </c>
      <c r="H10" s="510">
        <f t="shared" ref="H10:H21" si="2">H9-F10+D10</f>
        <v>2548.75</v>
      </c>
      <c r="I10" s="511" t="s">
        <v>1015</v>
      </c>
    </row>
    <row r="11" spans="1:9" s="361" customFormat="1" ht="12.75" customHeight="1" x14ac:dyDescent="0.25">
      <c r="A11" s="499" t="s">
        <v>1042</v>
      </c>
      <c r="B11" s="500">
        <v>45890</v>
      </c>
      <c r="C11" s="501" t="s">
        <v>1017</v>
      </c>
      <c r="D11" s="512">
        <v>0</v>
      </c>
      <c r="E11" s="502">
        <f t="shared" si="0"/>
        <v>8595</v>
      </c>
      <c r="F11" s="406"/>
      <c r="G11" s="503">
        <f t="shared" si="1"/>
        <v>6046.25</v>
      </c>
      <c r="H11" s="503">
        <f t="shared" si="2"/>
        <v>2548.75</v>
      </c>
      <c r="I11" s="504"/>
    </row>
    <row r="12" spans="1:9" s="361" customFormat="1" ht="12.75" customHeight="1" x14ac:dyDescent="0.25">
      <c r="A12" s="499" t="s">
        <v>1042</v>
      </c>
      <c r="B12" s="500">
        <v>46114</v>
      </c>
      <c r="C12" s="513" t="s">
        <v>1741</v>
      </c>
      <c r="D12" s="512">
        <v>-2548.75</v>
      </c>
      <c r="E12" s="502">
        <f t="shared" si="0"/>
        <v>6046.25</v>
      </c>
      <c r="F12" s="406"/>
      <c r="G12" s="503">
        <f t="shared" si="1"/>
        <v>6046.25</v>
      </c>
      <c r="H12" s="503">
        <f t="shared" si="2"/>
        <v>0</v>
      </c>
      <c r="I12" s="504"/>
    </row>
    <row r="13" spans="1:9" s="361" customFormat="1" ht="12.75" customHeight="1" x14ac:dyDescent="0.25">
      <c r="A13" s="499"/>
      <c r="B13" s="500"/>
      <c r="C13" s="501"/>
      <c r="D13" s="502"/>
      <c r="E13" s="502">
        <f t="shared" si="0"/>
        <v>6046.25</v>
      </c>
      <c r="F13" s="406"/>
      <c r="G13" s="503">
        <f t="shared" si="1"/>
        <v>6046.25</v>
      </c>
      <c r="H13" s="503">
        <f t="shared" si="2"/>
        <v>0</v>
      </c>
      <c r="I13" s="504"/>
    </row>
    <row r="14" spans="1:9" s="361" customFormat="1" ht="12.75" customHeight="1" x14ac:dyDescent="0.25">
      <c r="A14" s="499"/>
      <c r="B14" s="500"/>
      <c r="C14" s="501"/>
      <c r="D14" s="502"/>
      <c r="E14" s="502">
        <f t="shared" si="0"/>
        <v>6046.25</v>
      </c>
      <c r="F14" s="503"/>
      <c r="G14" s="503">
        <f t="shared" si="1"/>
        <v>6046.25</v>
      </c>
      <c r="H14" s="503">
        <f t="shared" si="2"/>
        <v>0</v>
      </c>
      <c r="I14" s="504"/>
    </row>
    <row r="15" spans="1:9" s="361" customFormat="1" ht="12.75" customHeight="1" x14ac:dyDescent="0.25">
      <c r="A15" s="499"/>
      <c r="B15" s="500"/>
      <c r="C15" s="501"/>
      <c r="D15" s="502"/>
      <c r="E15" s="502">
        <f t="shared" si="0"/>
        <v>6046.25</v>
      </c>
      <c r="F15" s="406"/>
      <c r="G15" s="503">
        <f t="shared" si="1"/>
        <v>6046.25</v>
      </c>
      <c r="H15" s="503">
        <f t="shared" si="2"/>
        <v>0</v>
      </c>
      <c r="I15" s="504"/>
    </row>
    <row r="16" spans="1:9" s="361" customFormat="1" ht="12.75" customHeight="1" x14ac:dyDescent="0.25">
      <c r="A16" s="499"/>
      <c r="B16" s="500"/>
      <c r="C16" s="501"/>
      <c r="D16" s="502"/>
      <c r="E16" s="502">
        <f t="shared" si="0"/>
        <v>6046.25</v>
      </c>
      <c r="F16" s="406"/>
      <c r="G16" s="503">
        <f t="shared" si="1"/>
        <v>6046.25</v>
      </c>
      <c r="H16" s="503">
        <f t="shared" si="2"/>
        <v>0</v>
      </c>
      <c r="I16" s="504"/>
    </row>
    <row r="17" spans="1:9" s="361" customFormat="1" ht="12.75" customHeight="1" x14ac:dyDescent="0.25">
      <c r="A17" s="499"/>
      <c r="B17" s="500"/>
      <c r="C17" s="501"/>
      <c r="D17" s="502"/>
      <c r="E17" s="502">
        <f t="shared" si="0"/>
        <v>6046.25</v>
      </c>
      <c r="F17" s="406"/>
      <c r="G17" s="503">
        <f t="shared" si="1"/>
        <v>6046.25</v>
      </c>
      <c r="H17" s="503">
        <f t="shared" si="2"/>
        <v>0</v>
      </c>
      <c r="I17" s="504"/>
    </row>
    <row r="18" spans="1:9" s="361" customFormat="1" ht="12.75" customHeight="1" x14ac:dyDescent="0.25">
      <c r="A18" s="499"/>
      <c r="B18" s="500"/>
      <c r="C18" s="501"/>
      <c r="D18" s="502"/>
      <c r="E18" s="502">
        <f t="shared" si="0"/>
        <v>6046.25</v>
      </c>
      <c r="F18" s="406"/>
      <c r="G18" s="503">
        <f t="shared" si="1"/>
        <v>6046.25</v>
      </c>
      <c r="H18" s="503">
        <f t="shared" si="2"/>
        <v>0</v>
      </c>
      <c r="I18" s="504"/>
    </row>
    <row r="19" spans="1:9" s="361" customFormat="1" ht="12.75" customHeight="1" x14ac:dyDescent="0.25">
      <c r="A19" s="499"/>
      <c r="B19" s="500"/>
      <c r="C19" s="501"/>
      <c r="D19" s="502"/>
      <c r="E19" s="502">
        <f t="shared" si="0"/>
        <v>6046.25</v>
      </c>
      <c r="F19" s="503"/>
      <c r="G19" s="503">
        <f t="shared" si="1"/>
        <v>6046.25</v>
      </c>
      <c r="H19" s="503">
        <f t="shared" si="2"/>
        <v>0</v>
      </c>
      <c r="I19" s="504"/>
    </row>
    <row r="20" spans="1:9" s="361" customFormat="1" ht="12.75" customHeight="1" x14ac:dyDescent="0.25">
      <c r="A20" s="499"/>
      <c r="B20" s="500"/>
      <c r="C20" s="501"/>
      <c r="D20" s="502"/>
      <c r="E20" s="502">
        <f t="shared" si="0"/>
        <v>6046.25</v>
      </c>
      <c r="F20" s="503"/>
      <c r="G20" s="503">
        <f t="shared" si="1"/>
        <v>6046.25</v>
      </c>
      <c r="H20" s="503">
        <f t="shared" si="2"/>
        <v>0</v>
      </c>
      <c r="I20" s="504"/>
    </row>
    <row r="21" spans="1:9" s="361" customFormat="1" ht="12.75" customHeight="1" x14ac:dyDescent="0.25">
      <c r="A21" s="499"/>
      <c r="B21" s="500"/>
      <c r="C21" s="514"/>
      <c r="D21" s="502"/>
      <c r="E21" s="502">
        <f t="shared" si="0"/>
        <v>6046.25</v>
      </c>
      <c r="F21" s="503"/>
      <c r="G21" s="503">
        <f t="shared" si="1"/>
        <v>6046.25</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6046.25</v>
      </c>
      <c r="E23" s="405"/>
      <c r="F23" s="405">
        <f>SUM(F9:F22)</f>
        <v>6046.25</v>
      </c>
      <c r="G23" s="405"/>
      <c r="H23" s="405">
        <f>D23-F23</f>
        <v>0</v>
      </c>
      <c r="I23" s="504"/>
    </row>
    <row r="24" spans="1:9" s="361" customFormat="1" ht="12.75" customHeight="1" thickTop="1" x14ac:dyDescent="0.25"/>
    <row r="25" spans="1:9" s="361" customFormat="1" ht="12.75" customHeight="1" x14ac:dyDescent="0.25"/>
    <row r="26" spans="1:9" s="361" customFormat="1" ht="12.75" customHeight="1" x14ac:dyDescent="0.25"/>
    <row r="27" spans="1:9" s="361" customFormat="1" ht="12.75" customHeight="1" x14ac:dyDescent="0.25"/>
    <row r="28" spans="1:9" s="361" customFormat="1" ht="12.75" customHeight="1" x14ac:dyDescent="0.25"/>
    <row r="29" spans="1:9" s="361"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5DEF-BAE7-4593-98FD-ED71581A8CEA}">
  <sheetPr codeName="Sheet107">
    <pageSetUpPr fitToPage="1"/>
  </sheetPr>
  <dimension ref="A1:I41"/>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1102</v>
      </c>
      <c r="B4" s="126"/>
      <c r="C4" s="127"/>
      <c r="D4" s="128" t="s">
        <v>1101</v>
      </c>
      <c r="E4" s="124"/>
      <c r="F4" s="124"/>
      <c r="G4" s="124"/>
      <c r="H4" s="125"/>
      <c r="I4" s="125"/>
    </row>
    <row r="5" spans="1:9" ht="15.75" x14ac:dyDescent="0.25">
      <c r="A5" s="129" t="s">
        <v>109</v>
      </c>
      <c r="B5" s="130"/>
      <c r="C5" s="131"/>
      <c r="D5" s="176" t="s">
        <v>195</v>
      </c>
      <c r="E5" s="133"/>
      <c r="F5" s="134"/>
      <c r="G5" s="134"/>
      <c r="H5" s="130"/>
      <c r="I5" s="125"/>
    </row>
    <row r="6" spans="1:9" ht="15.75" x14ac:dyDescent="0.25">
      <c r="A6" s="86" t="str">
        <f>'RECAP #9429.00 '!B6</f>
        <v>Project Manager - James T.</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1103</v>
      </c>
      <c r="B9" s="409">
        <v>45910</v>
      </c>
      <c r="C9" s="410" t="s">
        <v>107</v>
      </c>
      <c r="D9" s="411">
        <v>2900</v>
      </c>
      <c r="E9" s="412">
        <f>D9</f>
        <v>2900</v>
      </c>
      <c r="F9" s="413"/>
      <c r="G9" s="413"/>
      <c r="H9" s="413">
        <f>E9</f>
        <v>2900</v>
      </c>
      <c r="I9" s="414"/>
    </row>
    <row r="10" spans="1:9" s="330" customFormat="1" ht="12.75" customHeight="1" x14ac:dyDescent="0.25">
      <c r="A10" s="408"/>
      <c r="B10" s="240"/>
      <c r="C10" s="410"/>
      <c r="D10" s="412"/>
      <c r="E10" s="412">
        <f t="shared" ref="E10:E21" si="0">E9+D10</f>
        <v>2900</v>
      </c>
      <c r="F10" s="445"/>
      <c r="G10" s="413">
        <f t="shared" ref="G10:G21" si="1">G9+F10</f>
        <v>0</v>
      </c>
      <c r="H10" s="413">
        <f t="shared" ref="H10:H21" si="2">H9-F10+D10</f>
        <v>2900</v>
      </c>
      <c r="I10" s="448"/>
    </row>
    <row r="11" spans="1:9" s="330" customFormat="1" ht="12.75" customHeight="1" x14ac:dyDescent="0.25">
      <c r="A11" s="408"/>
      <c r="B11" s="410"/>
      <c r="C11" s="410"/>
      <c r="D11" s="494"/>
      <c r="E11" s="412">
        <f t="shared" si="0"/>
        <v>2900</v>
      </c>
      <c r="F11" s="422"/>
      <c r="G11" s="413">
        <f t="shared" si="1"/>
        <v>0</v>
      </c>
      <c r="H11" s="413">
        <f t="shared" si="2"/>
        <v>2900</v>
      </c>
      <c r="I11" s="414"/>
    </row>
    <row r="12" spans="1:9" s="330" customFormat="1" ht="12.75" customHeight="1" x14ac:dyDescent="0.25">
      <c r="A12" s="408"/>
      <c r="B12" s="516"/>
      <c r="C12" s="412"/>
      <c r="D12" s="412"/>
      <c r="E12" s="412">
        <f t="shared" si="0"/>
        <v>2900</v>
      </c>
      <c r="F12" s="422"/>
      <c r="G12" s="413">
        <f t="shared" si="1"/>
        <v>0</v>
      </c>
      <c r="H12" s="413">
        <f t="shared" si="2"/>
        <v>2900</v>
      </c>
      <c r="I12" s="414"/>
    </row>
    <row r="13" spans="1:9" s="330" customFormat="1" ht="12.75" customHeight="1" x14ac:dyDescent="0.25">
      <c r="A13" s="408"/>
      <c r="B13" s="409"/>
      <c r="C13" s="410"/>
      <c r="D13" s="412"/>
      <c r="E13" s="412">
        <f t="shared" si="0"/>
        <v>2900</v>
      </c>
      <c r="F13" s="422"/>
      <c r="G13" s="413">
        <f t="shared" si="1"/>
        <v>0</v>
      </c>
      <c r="H13" s="413">
        <f t="shared" si="2"/>
        <v>2900</v>
      </c>
      <c r="I13" s="414"/>
    </row>
    <row r="14" spans="1:9" s="330" customFormat="1" ht="12.75" customHeight="1" x14ac:dyDescent="0.25">
      <c r="A14" s="408"/>
      <c r="B14" s="409"/>
      <c r="C14" s="410"/>
      <c r="D14" s="412"/>
      <c r="E14" s="412">
        <f t="shared" si="0"/>
        <v>2900</v>
      </c>
      <c r="F14" s="413"/>
      <c r="G14" s="413">
        <f t="shared" si="1"/>
        <v>0</v>
      </c>
      <c r="H14" s="413">
        <f t="shared" si="2"/>
        <v>2900</v>
      </c>
      <c r="I14" s="414"/>
    </row>
    <row r="15" spans="1:9" s="330" customFormat="1" ht="12.75" customHeight="1" x14ac:dyDescent="0.25">
      <c r="A15" s="408"/>
      <c r="B15" s="409"/>
      <c r="C15" s="410"/>
      <c r="D15" s="412"/>
      <c r="E15" s="412">
        <f t="shared" si="0"/>
        <v>2900</v>
      </c>
      <c r="F15" s="422"/>
      <c r="G15" s="413">
        <f t="shared" si="1"/>
        <v>0</v>
      </c>
      <c r="H15" s="413">
        <f t="shared" si="2"/>
        <v>2900</v>
      </c>
      <c r="I15" s="414"/>
    </row>
    <row r="16" spans="1:9" s="330" customFormat="1" ht="12.75" customHeight="1" x14ac:dyDescent="0.25">
      <c r="A16" s="408"/>
      <c r="B16" s="409"/>
      <c r="C16" s="410"/>
      <c r="D16" s="412"/>
      <c r="E16" s="412">
        <f t="shared" si="0"/>
        <v>2900</v>
      </c>
      <c r="F16" s="422"/>
      <c r="G16" s="413">
        <f t="shared" si="1"/>
        <v>0</v>
      </c>
      <c r="H16" s="413">
        <f t="shared" si="2"/>
        <v>2900</v>
      </c>
      <c r="I16" s="414"/>
    </row>
    <row r="17" spans="1:9" s="330" customFormat="1" ht="12.75" customHeight="1" x14ac:dyDescent="0.25">
      <c r="A17" s="408"/>
      <c r="B17" s="409"/>
      <c r="C17" s="410"/>
      <c r="D17" s="412"/>
      <c r="E17" s="412">
        <f t="shared" si="0"/>
        <v>2900</v>
      </c>
      <c r="F17" s="422"/>
      <c r="G17" s="413">
        <f t="shared" si="1"/>
        <v>0</v>
      </c>
      <c r="H17" s="413">
        <f t="shared" si="2"/>
        <v>2900</v>
      </c>
      <c r="I17" s="414"/>
    </row>
    <row r="18" spans="1:9" s="330" customFormat="1" ht="12.75" customHeight="1" x14ac:dyDescent="0.25">
      <c r="A18" s="408"/>
      <c r="B18" s="409"/>
      <c r="C18" s="410"/>
      <c r="D18" s="412"/>
      <c r="E18" s="412">
        <f t="shared" si="0"/>
        <v>2900</v>
      </c>
      <c r="F18" s="422"/>
      <c r="G18" s="413">
        <f t="shared" si="1"/>
        <v>0</v>
      </c>
      <c r="H18" s="413">
        <f t="shared" si="2"/>
        <v>2900</v>
      </c>
      <c r="I18" s="414"/>
    </row>
    <row r="19" spans="1:9" s="330" customFormat="1" ht="12.75" customHeight="1" x14ac:dyDescent="0.25">
      <c r="A19" s="408"/>
      <c r="B19" s="409"/>
      <c r="C19" s="410"/>
      <c r="D19" s="412"/>
      <c r="E19" s="412">
        <f t="shared" si="0"/>
        <v>2900</v>
      </c>
      <c r="F19" s="413"/>
      <c r="G19" s="413">
        <f t="shared" si="1"/>
        <v>0</v>
      </c>
      <c r="H19" s="413">
        <f t="shared" si="2"/>
        <v>2900</v>
      </c>
      <c r="I19" s="414"/>
    </row>
    <row r="20" spans="1:9" s="330" customFormat="1" ht="12.75" customHeight="1" x14ac:dyDescent="0.25">
      <c r="A20" s="408"/>
      <c r="B20" s="409"/>
      <c r="C20" s="410"/>
      <c r="D20" s="412"/>
      <c r="E20" s="412">
        <f t="shared" si="0"/>
        <v>2900</v>
      </c>
      <c r="F20" s="413"/>
      <c r="G20" s="413">
        <f t="shared" si="1"/>
        <v>0</v>
      </c>
      <c r="H20" s="413">
        <f t="shared" si="2"/>
        <v>2900</v>
      </c>
      <c r="I20" s="414"/>
    </row>
    <row r="21" spans="1:9" s="330" customFormat="1" ht="12.75" customHeight="1" x14ac:dyDescent="0.25">
      <c r="A21" s="408"/>
      <c r="B21" s="409"/>
      <c r="C21" s="423"/>
      <c r="D21" s="412"/>
      <c r="E21" s="412">
        <f t="shared" si="0"/>
        <v>2900</v>
      </c>
      <c r="F21" s="413"/>
      <c r="G21" s="413">
        <f t="shared" si="1"/>
        <v>0</v>
      </c>
      <c r="H21" s="413">
        <f t="shared" si="2"/>
        <v>2900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2900</v>
      </c>
      <c r="E23" s="426"/>
      <c r="F23" s="426">
        <f>SUM(F9:F22)</f>
        <v>0</v>
      </c>
      <c r="G23" s="426"/>
      <c r="H23" s="426">
        <f>D23-F23</f>
        <v>2900</v>
      </c>
      <c r="I23" s="414"/>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0560-7244-4B74-9DFF-4432476B3F46}">
  <sheetPr codeName="Sheet108">
    <pageSetUpPr fitToPage="1"/>
  </sheetPr>
  <dimension ref="A1:I3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379</v>
      </c>
      <c r="B4" s="126"/>
      <c r="C4" s="127"/>
      <c r="D4" s="128" t="s">
        <v>380</v>
      </c>
      <c r="E4" s="124"/>
      <c r="F4" s="124"/>
      <c r="G4" s="124"/>
      <c r="H4" s="125"/>
      <c r="I4" s="125"/>
    </row>
    <row r="5" spans="1:9" ht="15.75" x14ac:dyDescent="0.25">
      <c r="A5" s="129" t="s">
        <v>109</v>
      </c>
      <c r="B5" s="130"/>
      <c r="C5" s="131"/>
      <c r="D5" s="176" t="s">
        <v>1212</v>
      </c>
      <c r="E5" s="133"/>
      <c r="F5" s="134"/>
      <c r="G5" s="134"/>
      <c r="H5" s="130"/>
      <c r="I5" s="125"/>
    </row>
    <row r="6" spans="1:9" ht="15.75" x14ac:dyDescent="0.25">
      <c r="A6" s="86" t="str">
        <f>'RECAP #9429.00 '!B6</f>
        <v>Project Manager - James T.</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1213</v>
      </c>
      <c r="B9" s="409">
        <v>45929</v>
      </c>
      <c r="C9" s="410" t="s">
        <v>107</v>
      </c>
      <c r="D9" s="411">
        <v>88040</v>
      </c>
      <c r="E9" s="412">
        <f>D9</f>
        <v>88040</v>
      </c>
      <c r="F9" s="413"/>
      <c r="G9" s="413"/>
      <c r="H9" s="413">
        <f>E9</f>
        <v>88040</v>
      </c>
      <c r="I9" s="414"/>
    </row>
    <row r="10" spans="1:9" s="330" customFormat="1" ht="12.75" customHeight="1" x14ac:dyDescent="0.25">
      <c r="A10" s="408" t="s">
        <v>1430</v>
      </c>
      <c r="B10" s="240">
        <v>46009</v>
      </c>
      <c r="C10" s="410" t="s">
        <v>1431</v>
      </c>
      <c r="D10" s="412"/>
      <c r="E10" s="412">
        <f t="shared" ref="E10:E21" si="0">E9+D10</f>
        <v>88040</v>
      </c>
      <c r="F10" s="445">
        <v>5670</v>
      </c>
      <c r="G10" s="413">
        <f t="shared" ref="G10:G21" si="1">G9+F10</f>
        <v>5670</v>
      </c>
      <c r="H10" s="413">
        <f t="shared" ref="H10:H21" si="2">H9-F10+D10</f>
        <v>82370</v>
      </c>
      <c r="I10" s="448"/>
    </row>
    <row r="11" spans="1:9" s="330" customFormat="1" ht="12.75" customHeight="1" x14ac:dyDescent="0.25">
      <c r="A11" s="408"/>
      <c r="B11" s="410"/>
      <c r="C11" s="410"/>
      <c r="D11" s="494"/>
      <c r="E11" s="412">
        <f t="shared" si="0"/>
        <v>88040</v>
      </c>
      <c r="F11" s="422"/>
      <c r="G11" s="413">
        <f t="shared" si="1"/>
        <v>5670</v>
      </c>
      <c r="H11" s="413">
        <f t="shared" si="2"/>
        <v>82370</v>
      </c>
      <c r="I11" s="414"/>
    </row>
    <row r="12" spans="1:9" s="330" customFormat="1" ht="12.75" customHeight="1" x14ac:dyDescent="0.25">
      <c r="A12" s="408"/>
      <c r="B12" s="516"/>
      <c r="C12" s="412"/>
      <c r="D12" s="412"/>
      <c r="E12" s="412">
        <f t="shared" si="0"/>
        <v>88040</v>
      </c>
      <c r="F12" s="422"/>
      <c r="G12" s="413">
        <f t="shared" si="1"/>
        <v>5670</v>
      </c>
      <c r="H12" s="413">
        <f t="shared" si="2"/>
        <v>82370</v>
      </c>
      <c r="I12" s="414"/>
    </row>
    <row r="13" spans="1:9" s="330" customFormat="1" ht="12.75" customHeight="1" x14ac:dyDescent="0.25">
      <c r="A13" s="408"/>
      <c r="B13" s="409"/>
      <c r="C13" s="410"/>
      <c r="D13" s="412"/>
      <c r="E13" s="412">
        <f t="shared" si="0"/>
        <v>88040</v>
      </c>
      <c r="F13" s="422"/>
      <c r="G13" s="413">
        <f t="shared" si="1"/>
        <v>5670</v>
      </c>
      <c r="H13" s="413">
        <f t="shared" si="2"/>
        <v>82370</v>
      </c>
      <c r="I13" s="414"/>
    </row>
    <row r="14" spans="1:9" s="330" customFormat="1" ht="12.75" customHeight="1" x14ac:dyDescent="0.25">
      <c r="A14" s="408"/>
      <c r="B14" s="409"/>
      <c r="C14" s="410"/>
      <c r="D14" s="412"/>
      <c r="E14" s="412">
        <f t="shared" si="0"/>
        <v>88040</v>
      </c>
      <c r="F14" s="413"/>
      <c r="G14" s="413">
        <f t="shared" si="1"/>
        <v>5670</v>
      </c>
      <c r="H14" s="413">
        <f t="shared" si="2"/>
        <v>82370</v>
      </c>
      <c r="I14" s="414"/>
    </row>
    <row r="15" spans="1:9" s="330" customFormat="1" ht="12.75" customHeight="1" x14ac:dyDescent="0.25">
      <c r="A15" s="408"/>
      <c r="B15" s="409"/>
      <c r="C15" s="410"/>
      <c r="D15" s="412"/>
      <c r="E15" s="412">
        <f t="shared" si="0"/>
        <v>88040</v>
      </c>
      <c r="F15" s="422"/>
      <c r="G15" s="413">
        <f t="shared" si="1"/>
        <v>5670</v>
      </c>
      <c r="H15" s="413">
        <f t="shared" si="2"/>
        <v>82370</v>
      </c>
      <c r="I15" s="414"/>
    </row>
    <row r="16" spans="1:9" s="330" customFormat="1" ht="12.75" customHeight="1" x14ac:dyDescent="0.25">
      <c r="A16" s="408"/>
      <c r="B16" s="409"/>
      <c r="C16" s="410"/>
      <c r="D16" s="412"/>
      <c r="E16" s="412">
        <f t="shared" si="0"/>
        <v>88040</v>
      </c>
      <c r="F16" s="422"/>
      <c r="G16" s="413">
        <f t="shared" si="1"/>
        <v>5670</v>
      </c>
      <c r="H16" s="413">
        <f t="shared" si="2"/>
        <v>82370</v>
      </c>
      <c r="I16" s="414"/>
    </row>
    <row r="17" spans="1:9" s="330" customFormat="1" ht="12.75" customHeight="1" x14ac:dyDescent="0.25">
      <c r="A17" s="408"/>
      <c r="B17" s="409"/>
      <c r="C17" s="410"/>
      <c r="D17" s="412"/>
      <c r="E17" s="412">
        <f t="shared" si="0"/>
        <v>88040</v>
      </c>
      <c r="F17" s="422"/>
      <c r="G17" s="413">
        <f t="shared" si="1"/>
        <v>5670</v>
      </c>
      <c r="H17" s="413">
        <f t="shared" si="2"/>
        <v>82370</v>
      </c>
      <c r="I17" s="414"/>
    </row>
    <row r="18" spans="1:9" s="330" customFormat="1" ht="12.75" customHeight="1" x14ac:dyDescent="0.25">
      <c r="A18" s="408"/>
      <c r="B18" s="409"/>
      <c r="C18" s="410"/>
      <c r="D18" s="412"/>
      <c r="E18" s="412">
        <f t="shared" si="0"/>
        <v>88040</v>
      </c>
      <c r="F18" s="422"/>
      <c r="G18" s="413">
        <f t="shared" si="1"/>
        <v>5670</v>
      </c>
      <c r="H18" s="413">
        <f t="shared" si="2"/>
        <v>82370</v>
      </c>
      <c r="I18" s="414"/>
    </row>
    <row r="19" spans="1:9" s="330" customFormat="1" ht="12.75" customHeight="1" x14ac:dyDescent="0.25">
      <c r="A19" s="408"/>
      <c r="B19" s="409"/>
      <c r="C19" s="410"/>
      <c r="D19" s="412"/>
      <c r="E19" s="412">
        <f t="shared" si="0"/>
        <v>88040</v>
      </c>
      <c r="F19" s="413"/>
      <c r="G19" s="413">
        <f t="shared" si="1"/>
        <v>5670</v>
      </c>
      <c r="H19" s="413">
        <f t="shared" si="2"/>
        <v>82370</v>
      </c>
      <c r="I19" s="414"/>
    </row>
    <row r="20" spans="1:9" s="330" customFormat="1" ht="12.75" customHeight="1" x14ac:dyDescent="0.25">
      <c r="A20" s="408"/>
      <c r="B20" s="409"/>
      <c r="C20" s="410"/>
      <c r="D20" s="412"/>
      <c r="E20" s="412">
        <f t="shared" si="0"/>
        <v>88040</v>
      </c>
      <c r="F20" s="413"/>
      <c r="G20" s="413">
        <f t="shared" si="1"/>
        <v>5670</v>
      </c>
      <c r="H20" s="413">
        <f t="shared" si="2"/>
        <v>82370</v>
      </c>
      <c r="I20" s="414"/>
    </row>
    <row r="21" spans="1:9" s="330" customFormat="1" ht="12.75" customHeight="1" x14ac:dyDescent="0.25">
      <c r="A21" s="408"/>
      <c r="B21" s="409"/>
      <c r="C21" s="423"/>
      <c r="D21" s="412"/>
      <c r="E21" s="412">
        <f t="shared" si="0"/>
        <v>88040</v>
      </c>
      <c r="F21" s="413"/>
      <c r="G21" s="413">
        <f t="shared" si="1"/>
        <v>5670</v>
      </c>
      <c r="H21" s="413">
        <f t="shared" si="2"/>
        <v>82370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88040</v>
      </c>
      <c r="E23" s="426"/>
      <c r="F23" s="426">
        <f>SUM(F9:F22)</f>
        <v>5670</v>
      </c>
      <c r="G23" s="426"/>
      <c r="H23" s="426">
        <f>D23-F23</f>
        <v>82370</v>
      </c>
      <c r="I23" s="414"/>
    </row>
    <row r="24" spans="1:9" s="330" customFormat="1" ht="12.75" customHeight="1" thickTop="1" x14ac:dyDescent="0.25">
      <c r="A24" s="408"/>
      <c r="B24" s="449"/>
      <c r="C24" s="424"/>
      <c r="D24" s="427"/>
      <c r="E24" s="427"/>
      <c r="F24" s="427"/>
      <c r="G24" s="427"/>
      <c r="H24" s="427"/>
      <c r="I24" s="414"/>
    </row>
    <row r="25" spans="1:9" s="330" customFormat="1" ht="12.75" customHeight="1" x14ac:dyDescent="0.25">
      <c r="A25" s="408"/>
      <c r="B25" s="449"/>
      <c r="C25" s="424"/>
      <c r="D25" s="427"/>
      <c r="E25" s="427"/>
      <c r="F25" s="427"/>
      <c r="G25" s="427"/>
      <c r="H25" s="427"/>
      <c r="I25" s="414"/>
    </row>
    <row r="26" spans="1:9" s="330" customFormat="1" ht="12.75" customHeight="1" x14ac:dyDescent="0.25">
      <c r="A26" s="408"/>
      <c r="B26" s="410"/>
      <c r="C26" s="425" t="s">
        <v>1432</v>
      </c>
      <c r="D26" s="413">
        <v>82460</v>
      </c>
      <c r="E26" s="413"/>
      <c r="F26" s="413">
        <v>5670</v>
      </c>
      <c r="G26" s="413"/>
      <c r="H26" s="413">
        <f>D26-F26</f>
        <v>76790</v>
      </c>
      <c r="I26" s="414"/>
    </row>
    <row r="27" spans="1:9" s="330" customFormat="1" ht="12.75" customHeight="1" x14ac:dyDescent="0.25">
      <c r="A27" s="408"/>
      <c r="B27" s="410"/>
      <c r="C27" s="425" t="s">
        <v>1214</v>
      </c>
      <c r="D27" s="413">
        <v>2520</v>
      </c>
      <c r="E27" s="413"/>
      <c r="F27" s="413"/>
      <c r="G27" s="413"/>
      <c r="H27" s="413">
        <f t="shared" ref="H27:H28" si="3">D27-F27</f>
        <v>2520</v>
      </c>
      <c r="I27" s="414"/>
    </row>
    <row r="28" spans="1:9" s="330" customFormat="1" ht="12.75" customHeight="1" x14ac:dyDescent="0.25">
      <c r="A28" s="408"/>
      <c r="B28" s="410"/>
      <c r="C28" s="425" t="s">
        <v>1215</v>
      </c>
      <c r="D28" s="413">
        <v>3060</v>
      </c>
      <c r="E28" s="413"/>
      <c r="F28" s="413"/>
      <c r="G28" s="413"/>
      <c r="H28" s="413">
        <f t="shared" si="3"/>
        <v>3060</v>
      </c>
      <c r="I28" s="414"/>
    </row>
    <row r="29" spans="1:9" s="330" customFormat="1" ht="12.75" customHeight="1" thickBot="1" x14ac:dyDescent="0.3">
      <c r="A29" s="408"/>
      <c r="B29" s="410"/>
      <c r="C29" s="424" t="s">
        <v>555</v>
      </c>
      <c r="D29" s="426">
        <f>SUM(D26:D28)</f>
        <v>88040</v>
      </c>
      <c r="E29" s="427"/>
      <c r="F29" s="426">
        <f>SUM(F26:F28)</f>
        <v>5670</v>
      </c>
      <c r="G29" s="427"/>
      <c r="H29" s="426">
        <f>SUM(H26:H28)</f>
        <v>82370</v>
      </c>
      <c r="I29" s="414"/>
    </row>
    <row r="30" spans="1:9" s="330" customFormat="1" ht="12.7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E9C8-DD1C-4D93-BF3C-2A8E4F1502E2}">
  <sheetPr codeName="Sheet11">
    <pageSetUpPr fitToPage="1"/>
  </sheetPr>
  <dimension ref="A1:M31"/>
  <sheetViews>
    <sheetView tabSelected="1" topLeftCell="A6"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1198</v>
      </c>
      <c r="B4" s="126"/>
      <c r="C4" s="127"/>
      <c r="D4" s="128" t="s">
        <v>1199</v>
      </c>
      <c r="E4" s="124"/>
      <c r="F4" s="124"/>
      <c r="G4" s="124"/>
      <c r="H4" s="125"/>
      <c r="I4" s="125"/>
    </row>
    <row r="5" spans="1:9" ht="15.75" x14ac:dyDescent="0.25">
      <c r="A5" s="129" t="s">
        <v>109</v>
      </c>
      <c r="B5" s="130"/>
      <c r="C5" s="131"/>
      <c r="D5" s="132" t="s">
        <v>1196</v>
      </c>
      <c r="E5" s="133"/>
      <c r="F5" s="134"/>
      <c r="G5" s="134"/>
      <c r="H5" s="130"/>
      <c r="I5" s="125"/>
    </row>
    <row r="6" spans="1:9" ht="15.75" x14ac:dyDescent="0.25">
      <c r="A6" s="86" t="str">
        <f>'RECAP #9239.02'!B6</f>
        <v>Project Manager - Brad T.</v>
      </c>
      <c r="B6" s="86"/>
      <c r="C6" s="135"/>
      <c r="D6" s="136" t="s">
        <v>810</v>
      </c>
      <c r="E6" s="137"/>
      <c r="F6" s="138"/>
      <c r="G6" s="134"/>
      <c r="H6" s="130"/>
      <c r="I6" s="125"/>
    </row>
    <row r="7" spans="1:9" ht="15.75" x14ac:dyDescent="0.25">
      <c r="A7" s="125"/>
      <c r="B7" s="139"/>
      <c r="C7" s="139"/>
      <c r="D7" s="125" t="s">
        <v>1288</v>
      </c>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1200</v>
      </c>
      <c r="B9" s="409">
        <v>45923</v>
      </c>
      <c r="C9" s="410" t="s">
        <v>107</v>
      </c>
      <c r="D9" s="411">
        <v>910000</v>
      </c>
      <c r="E9" s="412">
        <f>D9</f>
        <v>910000</v>
      </c>
      <c r="F9" s="413"/>
      <c r="G9" s="413"/>
      <c r="H9" s="413">
        <f>E9</f>
        <v>910000</v>
      </c>
      <c r="I9" s="444"/>
    </row>
    <row r="10" spans="1:9" s="330" customFormat="1" ht="12.75" customHeight="1" x14ac:dyDescent="0.25">
      <c r="A10" s="408" t="s">
        <v>1200</v>
      </c>
      <c r="B10" s="240">
        <v>45954</v>
      </c>
      <c r="C10" s="410" t="s">
        <v>1284</v>
      </c>
      <c r="D10" s="447">
        <v>-52000</v>
      </c>
      <c r="E10" s="412">
        <f t="shared" ref="E10:E21" si="0">E9+D10</f>
        <v>858000</v>
      </c>
      <c r="F10" s="445"/>
      <c r="G10" s="413">
        <f t="shared" ref="G10:G21" si="1">G9+F10</f>
        <v>0</v>
      </c>
      <c r="H10" s="413">
        <f t="shared" ref="H10:H21" si="2">H9-F10+D10</f>
        <v>858000</v>
      </c>
      <c r="I10" s="446"/>
    </row>
    <row r="11" spans="1:9" s="330" customFormat="1" ht="12.75" customHeight="1" x14ac:dyDescent="0.25">
      <c r="A11" s="408" t="s">
        <v>1200</v>
      </c>
      <c r="B11" s="409">
        <v>45967</v>
      </c>
      <c r="C11" s="410" t="s">
        <v>1315</v>
      </c>
      <c r="D11" s="411">
        <v>2146</v>
      </c>
      <c r="E11" s="412">
        <f t="shared" si="0"/>
        <v>860146</v>
      </c>
      <c r="F11" s="422"/>
      <c r="G11" s="413">
        <f t="shared" si="1"/>
        <v>0</v>
      </c>
      <c r="H11" s="413">
        <f t="shared" si="2"/>
        <v>860146</v>
      </c>
      <c r="I11" s="444"/>
    </row>
    <row r="12" spans="1:9" s="330" customFormat="1" ht="12.75" customHeight="1" x14ac:dyDescent="0.25">
      <c r="A12" s="408" t="s">
        <v>1416</v>
      </c>
      <c r="B12" s="409">
        <v>46007</v>
      </c>
      <c r="C12" s="410" t="s">
        <v>1536</v>
      </c>
      <c r="D12" s="412"/>
      <c r="E12" s="412">
        <f t="shared" si="0"/>
        <v>860146</v>
      </c>
      <c r="F12" s="445">
        <v>77412.789999999994</v>
      </c>
      <c r="G12" s="413">
        <f t="shared" si="1"/>
        <v>77412.789999999994</v>
      </c>
      <c r="H12" s="413">
        <f t="shared" si="2"/>
        <v>782733.21</v>
      </c>
      <c r="I12" s="482">
        <v>2394.21</v>
      </c>
    </row>
    <row r="13" spans="1:9" s="330" customFormat="1" ht="12.75" customHeight="1" x14ac:dyDescent="0.25">
      <c r="A13" s="408" t="s">
        <v>1200</v>
      </c>
      <c r="B13" s="409">
        <v>46043</v>
      </c>
      <c r="C13" s="410" t="s">
        <v>1515</v>
      </c>
      <c r="D13" s="411">
        <v>2441.29</v>
      </c>
      <c r="E13" s="412">
        <f t="shared" si="0"/>
        <v>862587.29</v>
      </c>
      <c r="F13" s="422"/>
      <c r="G13" s="413">
        <f t="shared" si="1"/>
        <v>77412.789999999994</v>
      </c>
      <c r="H13" s="413">
        <f t="shared" si="2"/>
        <v>785174.5</v>
      </c>
      <c r="I13" s="444"/>
    </row>
    <row r="14" spans="1:9" s="330" customFormat="1" ht="12.75" customHeight="1" x14ac:dyDescent="0.25">
      <c r="A14" s="408" t="s">
        <v>1532</v>
      </c>
      <c r="B14" s="409">
        <v>46051</v>
      </c>
      <c r="C14" s="410" t="s">
        <v>1533</v>
      </c>
      <c r="D14" s="412"/>
      <c r="E14" s="412">
        <f t="shared" si="0"/>
        <v>862587.29</v>
      </c>
      <c r="F14" s="445">
        <v>22579.66</v>
      </c>
      <c r="G14" s="413">
        <f t="shared" si="1"/>
        <v>99992.45</v>
      </c>
      <c r="H14" s="413">
        <f t="shared" si="2"/>
        <v>762594.84</v>
      </c>
      <c r="I14" s="482">
        <f>I12+698.34</f>
        <v>3092.55</v>
      </c>
    </row>
    <row r="15" spans="1:9" s="330" customFormat="1" ht="12.75" customHeight="1" x14ac:dyDescent="0.25">
      <c r="A15" s="408" t="s">
        <v>1555</v>
      </c>
      <c r="B15" s="409">
        <v>46065</v>
      </c>
      <c r="C15" s="410" t="s">
        <v>1556</v>
      </c>
      <c r="D15" s="412"/>
      <c r="E15" s="412">
        <f t="shared" si="0"/>
        <v>862587.29</v>
      </c>
      <c r="F15" s="445">
        <v>86504.6</v>
      </c>
      <c r="G15" s="413">
        <f t="shared" si="1"/>
        <v>186497.05</v>
      </c>
      <c r="H15" s="413">
        <f t="shared" si="2"/>
        <v>676090.24</v>
      </c>
      <c r="I15" s="482">
        <f>I14+2675.4</f>
        <v>5767.9500000000007</v>
      </c>
    </row>
    <row r="16" spans="1:9" s="330" customFormat="1" ht="12.75" customHeight="1" x14ac:dyDescent="0.25">
      <c r="A16" s="408" t="s">
        <v>1659</v>
      </c>
      <c r="B16" s="409">
        <v>46087</v>
      </c>
      <c r="C16" s="410" t="s">
        <v>1660</v>
      </c>
      <c r="D16" s="412"/>
      <c r="E16" s="412">
        <f t="shared" si="0"/>
        <v>862587.29</v>
      </c>
      <c r="F16" s="445">
        <v>38458.910000000003</v>
      </c>
      <c r="G16" s="413">
        <f t="shared" si="1"/>
        <v>224955.96</v>
      </c>
      <c r="H16" s="413">
        <f t="shared" si="2"/>
        <v>637631.32999999996</v>
      </c>
      <c r="I16" s="482">
        <f>I15+1189.45</f>
        <v>6957.4000000000005</v>
      </c>
    </row>
    <row r="17" spans="1:13" s="330" customFormat="1" ht="12.75" customHeight="1" x14ac:dyDescent="0.25">
      <c r="A17" s="408" t="s">
        <v>1748</v>
      </c>
      <c r="B17" s="409">
        <v>46120</v>
      </c>
      <c r="C17" s="410" t="s">
        <v>1749</v>
      </c>
      <c r="D17" s="412"/>
      <c r="E17" s="412">
        <f t="shared" si="0"/>
        <v>862587.29</v>
      </c>
      <c r="F17" s="445">
        <v>44454.69</v>
      </c>
      <c r="G17" s="413">
        <f t="shared" si="1"/>
        <v>269410.65000000002</v>
      </c>
      <c r="H17" s="413">
        <f t="shared" si="2"/>
        <v>593176.6399999999</v>
      </c>
      <c r="I17" s="482">
        <f>I16+1374.9</f>
        <v>8332.3000000000011</v>
      </c>
    </row>
    <row r="18" spans="1:13" s="330" customFormat="1" ht="12.75" customHeight="1" x14ac:dyDescent="0.25">
      <c r="A18" s="408" t="s">
        <v>1200</v>
      </c>
      <c r="B18" s="409">
        <v>46129</v>
      </c>
      <c r="C18" s="410" t="s">
        <v>1780</v>
      </c>
      <c r="D18" s="411">
        <v>6005</v>
      </c>
      <c r="E18" s="412">
        <f t="shared" si="0"/>
        <v>868592.29</v>
      </c>
      <c r="F18" s="422"/>
      <c r="G18" s="413">
        <f t="shared" si="1"/>
        <v>269410.65000000002</v>
      </c>
      <c r="H18" s="413">
        <f t="shared" si="2"/>
        <v>599181.6399999999</v>
      </c>
      <c r="I18" s="444"/>
    </row>
    <row r="19" spans="1:13" s="330" customFormat="1" ht="12.75" customHeight="1" x14ac:dyDescent="0.25">
      <c r="A19" s="408"/>
      <c r="B19" s="409"/>
      <c r="C19" s="410"/>
      <c r="D19" s="412"/>
      <c r="E19" s="412">
        <f t="shared" si="0"/>
        <v>868592.29</v>
      </c>
      <c r="F19" s="413"/>
      <c r="G19" s="413">
        <f t="shared" si="1"/>
        <v>269410.65000000002</v>
      </c>
      <c r="H19" s="413">
        <f t="shared" si="2"/>
        <v>599181.6399999999</v>
      </c>
      <c r="I19" s="444"/>
      <c r="K19" s="581"/>
    </row>
    <row r="20" spans="1:13" s="330" customFormat="1" ht="12.75" customHeight="1" x14ac:dyDescent="0.25">
      <c r="A20" s="408"/>
      <c r="B20" s="409"/>
      <c r="C20" s="410"/>
      <c r="D20" s="412"/>
      <c r="E20" s="412">
        <f t="shared" si="0"/>
        <v>868592.29</v>
      </c>
      <c r="F20" s="413"/>
      <c r="G20" s="413">
        <f t="shared" si="1"/>
        <v>269410.65000000002</v>
      </c>
      <c r="H20" s="413">
        <f t="shared" si="2"/>
        <v>599181.6399999999</v>
      </c>
      <c r="I20" s="444"/>
    </row>
    <row r="21" spans="1:13" s="330" customFormat="1" ht="12.75" customHeight="1" x14ac:dyDescent="0.25">
      <c r="A21" s="408"/>
      <c r="B21" s="409"/>
      <c r="C21" s="423"/>
      <c r="D21" s="412"/>
      <c r="E21" s="412">
        <f t="shared" si="0"/>
        <v>868592.29</v>
      </c>
      <c r="F21" s="413"/>
      <c r="G21" s="413">
        <f t="shared" si="1"/>
        <v>269410.65000000002</v>
      </c>
      <c r="H21" s="413">
        <f t="shared" si="2"/>
        <v>599181.6399999999</v>
      </c>
      <c r="I21" s="444"/>
    </row>
    <row r="22" spans="1:13" s="330" customFormat="1" ht="12.75" customHeight="1" x14ac:dyDescent="0.25">
      <c r="A22" s="408"/>
      <c r="B22" s="410"/>
      <c r="C22" s="425"/>
      <c r="D22" s="413"/>
      <c r="E22" s="413"/>
      <c r="F22" s="413"/>
      <c r="G22" s="413"/>
      <c r="H22" s="413"/>
      <c r="I22" s="414"/>
      <c r="K22" s="581"/>
    </row>
    <row r="23" spans="1:13" s="330" customFormat="1" ht="12.75" customHeight="1" thickBot="1" x14ac:dyDescent="0.3">
      <c r="A23" s="408"/>
      <c r="B23" s="449"/>
      <c r="C23" s="450" t="s">
        <v>54</v>
      </c>
      <c r="D23" s="426">
        <f>SUM(D9:D22)</f>
        <v>868592.29</v>
      </c>
      <c r="E23" s="426"/>
      <c r="F23" s="426">
        <f>SUM(F9:F22)</f>
        <v>269410.65000000002</v>
      </c>
      <c r="G23" s="426"/>
      <c r="H23" s="426">
        <f>D23-F23</f>
        <v>599181.64</v>
      </c>
      <c r="I23" s="491"/>
    </row>
    <row r="24" spans="1:13" s="330" customFormat="1" ht="12.75" customHeight="1" thickTop="1" x14ac:dyDescent="0.25">
      <c r="A24" s="408"/>
      <c r="B24" s="410"/>
      <c r="C24" s="425"/>
      <c r="D24" s="413"/>
      <c r="E24" s="413"/>
      <c r="F24" s="413"/>
      <c r="G24" s="413"/>
      <c r="H24" s="413"/>
      <c r="I24" s="414"/>
    </row>
    <row r="25" spans="1:13" s="330" customFormat="1" ht="12.75" customHeight="1" x14ac:dyDescent="0.25">
      <c r="A25" s="408"/>
      <c r="B25" s="410"/>
      <c r="C25" s="425"/>
      <c r="D25" s="413"/>
      <c r="E25" s="413"/>
      <c r="F25" s="413"/>
      <c r="G25" s="413"/>
      <c r="H25" s="413"/>
      <c r="I25" s="414"/>
    </row>
    <row r="26" spans="1:13" s="330" customFormat="1" ht="12.75" customHeight="1" x14ac:dyDescent="0.25">
      <c r="A26" s="408"/>
      <c r="B26" s="410"/>
      <c r="C26" s="425" t="s">
        <v>1287</v>
      </c>
      <c r="D26" s="413">
        <f>'#9239.03 Proctor Mechanical'!D23</f>
        <v>54303</v>
      </c>
      <c r="E26" s="413"/>
      <c r="F26" s="413">
        <f>'#9239.03 Proctor Mechanical'!F23</f>
        <v>47918</v>
      </c>
      <c r="G26" s="413"/>
      <c r="H26" s="413">
        <f>D26-F26</f>
        <v>6385</v>
      </c>
      <c r="I26" s="414"/>
    </row>
    <row r="27" spans="1:13" s="330" customFormat="1" ht="12.75" customHeight="1" thickBot="1" x14ac:dyDescent="0.3">
      <c r="A27" s="408"/>
      <c r="B27" s="410"/>
      <c r="C27" s="424" t="s">
        <v>555</v>
      </c>
      <c r="D27" s="426">
        <f>SUM(D23:D26)</f>
        <v>922895.29</v>
      </c>
      <c r="E27" s="427"/>
      <c r="F27" s="426">
        <f>SUM(F23:F26)</f>
        <v>317328.65000000002</v>
      </c>
      <c r="G27" s="427"/>
      <c r="H27" s="426">
        <f>SUM(H23:H26)</f>
        <v>605566.64</v>
      </c>
      <c r="I27" s="414"/>
    </row>
    <row r="28" spans="1:13" s="330" customFormat="1" ht="12.75" customHeight="1" thickTop="1" x14ac:dyDescent="0.25"/>
    <row r="29" spans="1:13" s="330" customFormat="1" ht="12.75" customHeight="1" x14ac:dyDescent="0.25"/>
    <row r="30" spans="1:13" ht="15" customHeight="1" x14ac:dyDescent="0.25">
      <c r="A30" s="176" t="s">
        <v>1417</v>
      </c>
      <c r="L30" s="330"/>
      <c r="M30" s="330"/>
    </row>
    <row r="31" spans="1:13" ht="15" customHeight="1" x14ac:dyDescent="0.25">
      <c r="L31" s="330"/>
      <c r="M31" s="330"/>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90DD-110A-4A81-9690-8CB3ED48E1B5}">
  <sheetPr codeName="Sheet109">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1550</v>
      </c>
      <c r="B4" s="126"/>
      <c r="C4" s="127"/>
      <c r="D4" s="128" t="s">
        <v>194</v>
      </c>
      <c r="E4" s="124"/>
      <c r="F4" s="124"/>
      <c r="G4" s="124"/>
      <c r="H4" s="125"/>
      <c r="I4" s="125"/>
    </row>
    <row r="5" spans="1:9" ht="15.75" x14ac:dyDescent="0.25">
      <c r="A5" s="129" t="s">
        <v>143</v>
      </c>
      <c r="B5" s="130"/>
      <c r="C5" s="131"/>
      <c r="D5" s="176" t="s">
        <v>195</v>
      </c>
      <c r="E5" s="133"/>
      <c r="F5" s="134"/>
      <c r="G5" s="134"/>
      <c r="H5" s="130"/>
      <c r="I5" s="125"/>
    </row>
    <row r="6" spans="1:9" ht="15.75" x14ac:dyDescent="0.25">
      <c r="A6" s="86" t="str">
        <f>'RECAP #9429.00 '!B6</f>
        <v>Project Manager - James T.</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1551</v>
      </c>
      <c r="B9" s="409">
        <v>46062</v>
      </c>
      <c r="C9" s="410" t="s">
        <v>107</v>
      </c>
      <c r="D9" s="411">
        <v>774000</v>
      </c>
      <c r="E9" s="412">
        <f>D9</f>
        <v>774000</v>
      </c>
      <c r="F9" s="413"/>
      <c r="G9" s="413"/>
      <c r="H9" s="413">
        <f>E9</f>
        <v>774000</v>
      </c>
      <c r="I9" s="414"/>
    </row>
    <row r="10" spans="1:9" s="330" customFormat="1" ht="12.75" customHeight="1" x14ac:dyDescent="0.25">
      <c r="A10" s="408" t="s">
        <v>1669</v>
      </c>
      <c r="B10" s="240">
        <v>46091</v>
      </c>
      <c r="C10" s="410" t="s">
        <v>1668</v>
      </c>
      <c r="D10" s="412"/>
      <c r="E10" s="412">
        <f t="shared" ref="E10:E26" si="0">E9+D10</f>
        <v>774000</v>
      </c>
      <c r="F10" s="445">
        <v>26683.65</v>
      </c>
      <c r="G10" s="413">
        <f t="shared" ref="G10:G26" si="1">G9+F10</f>
        <v>26683.65</v>
      </c>
      <c r="H10" s="413">
        <f t="shared" ref="H10:H26" si="2">H9-F10+D10</f>
        <v>747316.35</v>
      </c>
      <c r="I10" s="414"/>
    </row>
    <row r="11" spans="1:9" s="330" customFormat="1" ht="12.75" customHeight="1" x14ac:dyDescent="0.25">
      <c r="A11" s="408" t="s">
        <v>1765</v>
      </c>
      <c r="B11" s="409">
        <v>46125</v>
      </c>
      <c r="C11" s="410" t="s">
        <v>1767</v>
      </c>
      <c r="D11" s="412"/>
      <c r="E11" s="412">
        <f t="shared" si="0"/>
        <v>774000</v>
      </c>
      <c r="F11" s="445">
        <v>26722.35</v>
      </c>
      <c r="G11" s="413">
        <f t="shared" si="1"/>
        <v>53406</v>
      </c>
      <c r="H11" s="413">
        <f t="shared" si="2"/>
        <v>720594</v>
      </c>
      <c r="I11" s="414"/>
    </row>
    <row r="12" spans="1:9" s="330" customFormat="1" ht="12.75" customHeight="1" x14ac:dyDescent="0.25">
      <c r="A12" s="408"/>
      <c r="B12" s="409"/>
      <c r="C12" s="410"/>
      <c r="D12" s="412"/>
      <c r="E12" s="412">
        <f t="shared" si="0"/>
        <v>774000</v>
      </c>
      <c r="F12" s="445"/>
      <c r="G12" s="413">
        <f t="shared" si="1"/>
        <v>53406</v>
      </c>
      <c r="H12" s="413">
        <f t="shared" si="2"/>
        <v>720594</v>
      </c>
      <c r="I12" s="414"/>
    </row>
    <row r="13" spans="1:9" s="330" customFormat="1" ht="12.75" customHeight="1" x14ac:dyDescent="0.25">
      <c r="A13" s="408"/>
      <c r="B13" s="409"/>
      <c r="C13" s="410"/>
      <c r="D13" s="412"/>
      <c r="E13" s="412">
        <f t="shared" si="0"/>
        <v>774000</v>
      </c>
      <c r="F13" s="445"/>
      <c r="G13" s="413">
        <f t="shared" si="1"/>
        <v>53406</v>
      </c>
      <c r="H13" s="413">
        <f t="shared" si="2"/>
        <v>720594</v>
      </c>
      <c r="I13" s="414"/>
    </row>
    <row r="14" spans="1:9" s="330" customFormat="1" ht="12.75" customHeight="1" x14ac:dyDescent="0.25">
      <c r="A14" s="408"/>
      <c r="B14" s="409"/>
      <c r="C14" s="410"/>
      <c r="D14" s="411"/>
      <c r="E14" s="412">
        <f t="shared" si="0"/>
        <v>774000</v>
      </c>
      <c r="F14" s="413"/>
      <c r="G14" s="413">
        <f t="shared" si="1"/>
        <v>53406</v>
      </c>
      <c r="H14" s="413">
        <f t="shared" si="2"/>
        <v>720594</v>
      </c>
      <c r="I14" s="414"/>
    </row>
    <row r="15" spans="1:9" s="330" customFormat="1" ht="12.75" customHeight="1" x14ac:dyDescent="0.25">
      <c r="A15" s="408"/>
      <c r="B15" s="409"/>
      <c r="C15" s="410"/>
      <c r="D15" s="412"/>
      <c r="E15" s="412">
        <f t="shared" si="0"/>
        <v>774000</v>
      </c>
      <c r="F15" s="445"/>
      <c r="G15" s="413">
        <f t="shared" si="1"/>
        <v>53406</v>
      </c>
      <c r="H15" s="413">
        <f t="shared" si="2"/>
        <v>720594</v>
      </c>
      <c r="I15" s="414"/>
    </row>
    <row r="16" spans="1:9" s="330" customFormat="1" ht="12.75" customHeight="1" x14ac:dyDescent="0.25">
      <c r="A16" s="408"/>
      <c r="B16" s="409"/>
      <c r="C16" s="410"/>
      <c r="D16" s="412"/>
      <c r="E16" s="412">
        <f t="shared" si="0"/>
        <v>774000</v>
      </c>
      <c r="F16" s="445"/>
      <c r="G16" s="413">
        <f t="shared" si="1"/>
        <v>53406</v>
      </c>
      <c r="H16" s="413">
        <f t="shared" si="2"/>
        <v>720594</v>
      </c>
      <c r="I16" s="414"/>
    </row>
    <row r="17" spans="1:9" s="330" customFormat="1" ht="12.75" customHeight="1" x14ac:dyDescent="0.25">
      <c r="A17" s="408"/>
      <c r="B17" s="409"/>
      <c r="C17" s="410"/>
      <c r="D17" s="412"/>
      <c r="E17" s="412">
        <f t="shared" si="0"/>
        <v>774000</v>
      </c>
      <c r="F17" s="445"/>
      <c r="G17" s="413">
        <f t="shared" si="1"/>
        <v>53406</v>
      </c>
      <c r="H17" s="413">
        <f t="shared" si="2"/>
        <v>720594</v>
      </c>
      <c r="I17" s="448"/>
    </row>
    <row r="18" spans="1:9" s="330" customFormat="1" ht="12.75" customHeight="1" x14ac:dyDescent="0.25">
      <c r="A18" s="408"/>
      <c r="B18" s="409"/>
      <c r="C18" s="410"/>
      <c r="D18" s="494"/>
      <c r="E18" s="412">
        <f t="shared" si="0"/>
        <v>774000</v>
      </c>
      <c r="F18" s="422"/>
      <c r="G18" s="413">
        <f t="shared" si="1"/>
        <v>53406</v>
      </c>
      <c r="H18" s="413">
        <f t="shared" si="2"/>
        <v>720594</v>
      </c>
      <c r="I18" s="414"/>
    </row>
    <row r="19" spans="1:9" s="330" customFormat="1" ht="12.75" customHeight="1" x14ac:dyDescent="0.25">
      <c r="A19" s="408"/>
      <c r="B19" s="409"/>
      <c r="C19" s="410"/>
      <c r="D19" s="412"/>
      <c r="E19" s="412">
        <f t="shared" si="0"/>
        <v>774000</v>
      </c>
      <c r="F19" s="445"/>
      <c r="G19" s="413">
        <f t="shared" si="1"/>
        <v>53406</v>
      </c>
      <c r="H19" s="413">
        <f t="shared" si="2"/>
        <v>720594</v>
      </c>
      <c r="I19" s="414"/>
    </row>
    <row r="20" spans="1:9" s="330" customFormat="1" ht="12.75" customHeight="1" x14ac:dyDescent="0.25">
      <c r="A20" s="408"/>
      <c r="B20" s="409"/>
      <c r="C20" s="410"/>
      <c r="D20" s="412"/>
      <c r="E20" s="412">
        <f t="shared" si="0"/>
        <v>774000</v>
      </c>
      <c r="F20" s="445"/>
      <c r="G20" s="413">
        <f t="shared" si="1"/>
        <v>53406</v>
      </c>
      <c r="H20" s="413">
        <f t="shared" si="2"/>
        <v>720594</v>
      </c>
      <c r="I20" s="414"/>
    </row>
    <row r="21" spans="1:9" s="330" customFormat="1" ht="12.75" customHeight="1" x14ac:dyDescent="0.25">
      <c r="A21" s="408"/>
      <c r="B21" s="409"/>
      <c r="C21" s="410"/>
      <c r="D21" s="411"/>
      <c r="E21" s="412">
        <f t="shared" si="0"/>
        <v>774000</v>
      </c>
      <c r="F21" s="445"/>
      <c r="G21" s="413">
        <f t="shared" si="1"/>
        <v>53406</v>
      </c>
      <c r="H21" s="413">
        <f t="shared" si="2"/>
        <v>720594</v>
      </c>
      <c r="I21" s="414"/>
    </row>
    <row r="22" spans="1:9" s="330" customFormat="1" ht="12.75" customHeight="1" x14ac:dyDescent="0.25">
      <c r="A22" s="408"/>
      <c r="B22" s="409"/>
      <c r="C22" s="410"/>
      <c r="D22" s="412"/>
      <c r="E22" s="412">
        <f t="shared" si="0"/>
        <v>774000</v>
      </c>
      <c r="F22" s="445"/>
      <c r="G22" s="413">
        <f t="shared" si="1"/>
        <v>53406</v>
      </c>
      <c r="H22" s="413">
        <f t="shared" si="2"/>
        <v>720594</v>
      </c>
      <c r="I22" s="414"/>
    </row>
    <row r="23" spans="1:9" s="330" customFormat="1" ht="12.75" customHeight="1" x14ac:dyDescent="0.25">
      <c r="A23" s="408"/>
      <c r="B23" s="409"/>
      <c r="C23" s="410"/>
      <c r="D23" s="412"/>
      <c r="E23" s="412">
        <f t="shared" si="0"/>
        <v>774000</v>
      </c>
      <c r="F23" s="445"/>
      <c r="G23" s="413">
        <f t="shared" si="1"/>
        <v>53406</v>
      </c>
      <c r="H23" s="413">
        <f t="shared" si="2"/>
        <v>720594</v>
      </c>
      <c r="I23" s="414"/>
    </row>
    <row r="24" spans="1:9" s="330" customFormat="1" ht="12.75" customHeight="1" x14ac:dyDescent="0.25">
      <c r="A24" s="408"/>
      <c r="B24" s="409"/>
      <c r="C24" s="410"/>
      <c r="D24" s="412"/>
      <c r="E24" s="412">
        <f t="shared" si="0"/>
        <v>774000</v>
      </c>
      <c r="F24" s="445"/>
      <c r="G24" s="413">
        <f t="shared" si="1"/>
        <v>53406</v>
      </c>
      <c r="H24" s="413">
        <f t="shared" si="2"/>
        <v>720594</v>
      </c>
      <c r="I24" s="414"/>
    </row>
    <row r="25" spans="1:9" s="330" customFormat="1" ht="12.75" customHeight="1" x14ac:dyDescent="0.25">
      <c r="A25" s="408"/>
      <c r="B25" s="409"/>
      <c r="C25" s="410"/>
      <c r="D25" s="412"/>
      <c r="E25" s="412">
        <f t="shared" si="0"/>
        <v>774000</v>
      </c>
      <c r="F25" s="445"/>
      <c r="G25" s="413">
        <f t="shared" si="1"/>
        <v>53406</v>
      </c>
      <c r="H25" s="413">
        <f t="shared" si="2"/>
        <v>720594</v>
      </c>
      <c r="I25" s="414"/>
    </row>
    <row r="26" spans="1:9" s="330" customFormat="1" ht="12.75" customHeight="1" x14ac:dyDescent="0.25">
      <c r="A26" s="408"/>
      <c r="B26" s="409"/>
      <c r="C26" s="410"/>
      <c r="D26" s="412"/>
      <c r="E26" s="412">
        <f t="shared" si="0"/>
        <v>774000</v>
      </c>
      <c r="F26" s="422"/>
      <c r="G26" s="413">
        <f t="shared" si="1"/>
        <v>53406</v>
      </c>
      <c r="H26" s="413">
        <f t="shared" si="2"/>
        <v>720594</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774000</v>
      </c>
      <c r="E28" s="426"/>
      <c r="F28" s="426">
        <f>SUM(F9:F27)</f>
        <v>53406</v>
      </c>
      <c r="G28" s="426"/>
      <c r="H28" s="426">
        <f>D28-F28</f>
        <v>720594</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t="s">
        <v>1552</v>
      </c>
      <c r="D31" s="413">
        <v>524343</v>
      </c>
      <c r="E31" s="413"/>
      <c r="F31" s="413">
        <f>26683.65+26722.35</f>
        <v>53406</v>
      </c>
      <c r="G31" s="413"/>
      <c r="H31" s="413">
        <f t="shared" ref="H31:H33" si="3">D31-F31</f>
        <v>470937</v>
      </c>
      <c r="I31" s="414"/>
    </row>
    <row r="32" spans="1:9" s="330" customFormat="1" ht="12.75" customHeight="1" x14ac:dyDescent="0.25">
      <c r="A32" s="408"/>
      <c r="B32" s="410"/>
      <c r="C32" s="425" t="s">
        <v>1553</v>
      </c>
      <c r="D32" s="413">
        <v>204640</v>
      </c>
      <c r="E32" s="413"/>
      <c r="F32" s="413"/>
      <c r="G32" s="413"/>
      <c r="H32" s="413">
        <f t="shared" si="3"/>
        <v>204640</v>
      </c>
      <c r="I32" s="414"/>
    </row>
    <row r="33" spans="1:9" s="330" customFormat="1" ht="12.75" customHeight="1" x14ac:dyDescent="0.25">
      <c r="A33" s="408"/>
      <c r="B33" s="410"/>
      <c r="C33" s="425" t="s">
        <v>1554</v>
      </c>
      <c r="D33" s="413">
        <v>45017</v>
      </c>
      <c r="E33" s="413"/>
      <c r="F33" s="413"/>
      <c r="G33" s="413"/>
      <c r="H33" s="413">
        <f t="shared" si="3"/>
        <v>45017</v>
      </c>
      <c r="I33" s="414"/>
    </row>
    <row r="34" spans="1:9" s="330" customFormat="1" ht="12.75" customHeight="1" thickBot="1" x14ac:dyDescent="0.3">
      <c r="A34" s="408"/>
      <c r="B34" s="410"/>
      <c r="C34" s="424" t="s">
        <v>555</v>
      </c>
      <c r="D34" s="426">
        <f>SUM(D31:D33)</f>
        <v>774000</v>
      </c>
      <c r="E34" s="427"/>
      <c r="F34" s="426">
        <f>SUM(F31:F33)</f>
        <v>53406</v>
      </c>
      <c r="G34" s="427"/>
      <c r="H34" s="426">
        <f>SUM(H31:H33)</f>
        <v>720594</v>
      </c>
      <c r="I34" s="491"/>
    </row>
    <row r="35" spans="1:9" s="330" customFormat="1" ht="12.75" customHeight="1" thickTop="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t="s">
        <v>1766</v>
      </c>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74CB-6D2F-486E-8EAA-152A319F4185}">
  <sheetPr codeName="Sheet110">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1565</v>
      </c>
      <c r="B4" s="126"/>
      <c r="C4" s="127"/>
      <c r="D4" s="128" t="s">
        <v>1566</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1568</v>
      </c>
      <c r="B9" s="409">
        <v>46069</v>
      </c>
      <c r="C9" s="410" t="s">
        <v>107</v>
      </c>
      <c r="D9" s="411">
        <v>890000</v>
      </c>
      <c r="E9" s="412">
        <f>D9</f>
        <v>890000</v>
      </c>
      <c r="F9" s="413"/>
      <c r="G9" s="413"/>
      <c r="H9" s="413">
        <f>E9</f>
        <v>890000</v>
      </c>
      <c r="I9" s="414"/>
    </row>
    <row r="10" spans="1:9" s="330" customFormat="1" ht="12.75" customHeight="1" x14ac:dyDescent="0.25">
      <c r="A10" s="408" t="s">
        <v>1711</v>
      </c>
      <c r="B10" s="240">
        <v>46105</v>
      </c>
      <c r="C10" s="410" t="s">
        <v>1712</v>
      </c>
      <c r="D10" s="412"/>
      <c r="E10" s="412">
        <f t="shared" ref="E10:E26" si="0">E9+D10</f>
        <v>890000</v>
      </c>
      <c r="F10" s="445">
        <v>7237.17</v>
      </c>
      <c r="G10" s="413">
        <f t="shared" ref="G10:G26" si="1">G9+F10</f>
        <v>7237.17</v>
      </c>
      <c r="H10" s="413">
        <f t="shared" ref="H10:H26" si="2">H9-F10+D10</f>
        <v>882762.83</v>
      </c>
      <c r="I10" s="491">
        <v>223.83</v>
      </c>
    </row>
    <row r="11" spans="1:9" s="330" customFormat="1" ht="12.75" customHeight="1" x14ac:dyDescent="0.25">
      <c r="A11" s="408"/>
      <c r="B11" s="409"/>
      <c r="C11" s="410"/>
      <c r="D11" s="412"/>
      <c r="E11" s="412">
        <f t="shared" si="0"/>
        <v>890000</v>
      </c>
      <c r="F11" s="445"/>
      <c r="G11" s="413">
        <f t="shared" si="1"/>
        <v>7237.17</v>
      </c>
      <c r="H11" s="413">
        <f t="shared" si="2"/>
        <v>882762.83</v>
      </c>
      <c r="I11" s="414"/>
    </row>
    <row r="12" spans="1:9" s="330" customFormat="1" ht="12.75" customHeight="1" x14ac:dyDescent="0.25">
      <c r="A12" s="408"/>
      <c r="B12" s="409"/>
      <c r="C12" s="410"/>
      <c r="D12" s="412"/>
      <c r="E12" s="412">
        <f t="shared" si="0"/>
        <v>890000</v>
      </c>
      <c r="F12" s="445"/>
      <c r="G12" s="413">
        <f t="shared" si="1"/>
        <v>7237.17</v>
      </c>
      <c r="H12" s="413">
        <f t="shared" si="2"/>
        <v>882762.83</v>
      </c>
      <c r="I12" s="414"/>
    </row>
    <row r="13" spans="1:9" s="330" customFormat="1" ht="12.75" customHeight="1" x14ac:dyDescent="0.25">
      <c r="A13" s="408"/>
      <c r="B13" s="409"/>
      <c r="C13" s="410"/>
      <c r="D13" s="412"/>
      <c r="E13" s="412">
        <f t="shared" si="0"/>
        <v>890000</v>
      </c>
      <c r="F13" s="445"/>
      <c r="G13" s="413">
        <f t="shared" si="1"/>
        <v>7237.17</v>
      </c>
      <c r="H13" s="413">
        <f t="shared" si="2"/>
        <v>882762.83</v>
      </c>
      <c r="I13" s="414"/>
    </row>
    <row r="14" spans="1:9" s="330" customFormat="1" ht="12.75" customHeight="1" x14ac:dyDescent="0.25">
      <c r="A14" s="408"/>
      <c r="B14" s="409"/>
      <c r="C14" s="410"/>
      <c r="D14" s="411"/>
      <c r="E14" s="412">
        <f t="shared" si="0"/>
        <v>890000</v>
      </c>
      <c r="F14" s="413"/>
      <c r="G14" s="413">
        <f t="shared" si="1"/>
        <v>7237.17</v>
      </c>
      <c r="H14" s="413">
        <f t="shared" si="2"/>
        <v>882762.83</v>
      </c>
      <c r="I14" s="414"/>
    </row>
    <row r="15" spans="1:9" s="330" customFormat="1" ht="12.75" customHeight="1" x14ac:dyDescent="0.25">
      <c r="A15" s="408"/>
      <c r="B15" s="409"/>
      <c r="C15" s="410"/>
      <c r="D15" s="412"/>
      <c r="E15" s="412">
        <f t="shared" si="0"/>
        <v>890000</v>
      </c>
      <c r="F15" s="445"/>
      <c r="G15" s="413">
        <f t="shared" si="1"/>
        <v>7237.17</v>
      </c>
      <c r="H15" s="413">
        <f t="shared" si="2"/>
        <v>882762.83</v>
      </c>
      <c r="I15" s="414"/>
    </row>
    <row r="16" spans="1:9" s="330" customFormat="1" ht="12.75" customHeight="1" x14ac:dyDescent="0.25">
      <c r="A16" s="408"/>
      <c r="B16" s="409"/>
      <c r="C16" s="410"/>
      <c r="D16" s="412"/>
      <c r="E16" s="412">
        <f t="shared" si="0"/>
        <v>890000</v>
      </c>
      <c r="F16" s="445"/>
      <c r="G16" s="413">
        <f t="shared" si="1"/>
        <v>7237.17</v>
      </c>
      <c r="H16" s="413">
        <f t="shared" si="2"/>
        <v>882762.83</v>
      </c>
      <c r="I16" s="414"/>
    </row>
    <row r="17" spans="1:9" s="330" customFormat="1" ht="12.75" customHeight="1" x14ac:dyDescent="0.25">
      <c r="A17" s="408"/>
      <c r="B17" s="409"/>
      <c r="C17" s="410"/>
      <c r="D17" s="412"/>
      <c r="E17" s="412">
        <f t="shared" si="0"/>
        <v>890000</v>
      </c>
      <c r="F17" s="445"/>
      <c r="G17" s="413">
        <f t="shared" si="1"/>
        <v>7237.17</v>
      </c>
      <c r="H17" s="413">
        <f t="shared" si="2"/>
        <v>882762.83</v>
      </c>
      <c r="I17" s="448"/>
    </row>
    <row r="18" spans="1:9" s="330" customFormat="1" ht="12.75" customHeight="1" x14ac:dyDescent="0.25">
      <c r="A18" s="408"/>
      <c r="B18" s="409"/>
      <c r="C18" s="410"/>
      <c r="D18" s="494"/>
      <c r="E18" s="412">
        <f t="shared" si="0"/>
        <v>890000</v>
      </c>
      <c r="F18" s="422"/>
      <c r="G18" s="413">
        <f t="shared" si="1"/>
        <v>7237.17</v>
      </c>
      <c r="H18" s="413">
        <f t="shared" si="2"/>
        <v>882762.83</v>
      </c>
      <c r="I18" s="414"/>
    </row>
    <row r="19" spans="1:9" s="330" customFormat="1" ht="12.75" customHeight="1" x14ac:dyDescent="0.25">
      <c r="A19" s="408"/>
      <c r="B19" s="409"/>
      <c r="C19" s="410"/>
      <c r="D19" s="412"/>
      <c r="E19" s="412">
        <f t="shared" si="0"/>
        <v>890000</v>
      </c>
      <c r="F19" s="445"/>
      <c r="G19" s="413">
        <f t="shared" si="1"/>
        <v>7237.17</v>
      </c>
      <c r="H19" s="413">
        <f t="shared" si="2"/>
        <v>882762.83</v>
      </c>
      <c r="I19" s="414"/>
    </row>
    <row r="20" spans="1:9" s="330" customFormat="1" ht="12.75" customHeight="1" x14ac:dyDescent="0.25">
      <c r="A20" s="408"/>
      <c r="B20" s="409"/>
      <c r="C20" s="410"/>
      <c r="D20" s="412"/>
      <c r="E20" s="412">
        <f t="shared" si="0"/>
        <v>890000</v>
      </c>
      <c r="F20" s="445"/>
      <c r="G20" s="413">
        <f t="shared" si="1"/>
        <v>7237.17</v>
      </c>
      <c r="H20" s="413">
        <f t="shared" si="2"/>
        <v>882762.83</v>
      </c>
      <c r="I20" s="414"/>
    </row>
    <row r="21" spans="1:9" s="330" customFormat="1" ht="12.75" customHeight="1" x14ac:dyDescent="0.25">
      <c r="A21" s="408"/>
      <c r="B21" s="409"/>
      <c r="C21" s="410"/>
      <c r="D21" s="411"/>
      <c r="E21" s="412">
        <f t="shared" si="0"/>
        <v>890000</v>
      </c>
      <c r="F21" s="445"/>
      <c r="G21" s="413">
        <f t="shared" si="1"/>
        <v>7237.17</v>
      </c>
      <c r="H21" s="413">
        <f t="shared" si="2"/>
        <v>882762.83</v>
      </c>
      <c r="I21" s="414"/>
    </row>
    <row r="22" spans="1:9" s="330" customFormat="1" ht="12.75" customHeight="1" x14ac:dyDescent="0.25">
      <c r="A22" s="408"/>
      <c r="B22" s="409"/>
      <c r="C22" s="410"/>
      <c r="D22" s="412"/>
      <c r="E22" s="412">
        <f t="shared" si="0"/>
        <v>890000</v>
      </c>
      <c r="F22" s="445"/>
      <c r="G22" s="413">
        <f t="shared" si="1"/>
        <v>7237.17</v>
      </c>
      <c r="H22" s="413">
        <f t="shared" si="2"/>
        <v>882762.83</v>
      </c>
      <c r="I22" s="414"/>
    </row>
    <row r="23" spans="1:9" s="330" customFormat="1" ht="12.75" customHeight="1" x14ac:dyDescent="0.25">
      <c r="A23" s="408"/>
      <c r="B23" s="409"/>
      <c r="C23" s="410"/>
      <c r="D23" s="412"/>
      <c r="E23" s="412">
        <f t="shared" si="0"/>
        <v>890000</v>
      </c>
      <c r="F23" s="445"/>
      <c r="G23" s="413">
        <f t="shared" si="1"/>
        <v>7237.17</v>
      </c>
      <c r="H23" s="413">
        <f t="shared" si="2"/>
        <v>882762.83</v>
      </c>
      <c r="I23" s="414"/>
    </row>
    <row r="24" spans="1:9" s="330" customFormat="1" ht="12.75" customHeight="1" x14ac:dyDescent="0.25">
      <c r="A24" s="408"/>
      <c r="B24" s="409"/>
      <c r="C24" s="410"/>
      <c r="D24" s="412"/>
      <c r="E24" s="412">
        <f t="shared" si="0"/>
        <v>890000</v>
      </c>
      <c r="F24" s="445"/>
      <c r="G24" s="413">
        <f t="shared" si="1"/>
        <v>7237.17</v>
      </c>
      <c r="H24" s="413">
        <f t="shared" si="2"/>
        <v>882762.83</v>
      </c>
      <c r="I24" s="414"/>
    </row>
    <row r="25" spans="1:9" s="330" customFormat="1" ht="12.75" customHeight="1" x14ac:dyDescent="0.25">
      <c r="A25" s="408"/>
      <c r="B25" s="409"/>
      <c r="C25" s="410"/>
      <c r="D25" s="412"/>
      <c r="E25" s="412">
        <f t="shared" si="0"/>
        <v>890000</v>
      </c>
      <c r="F25" s="445"/>
      <c r="G25" s="413">
        <f t="shared" si="1"/>
        <v>7237.17</v>
      </c>
      <c r="H25" s="413">
        <f t="shared" si="2"/>
        <v>882762.83</v>
      </c>
      <c r="I25" s="414"/>
    </row>
    <row r="26" spans="1:9" s="330" customFormat="1" ht="12.75" customHeight="1" x14ac:dyDescent="0.25">
      <c r="A26" s="408"/>
      <c r="B26" s="409"/>
      <c r="C26" s="410"/>
      <c r="D26" s="412"/>
      <c r="E26" s="412">
        <f t="shared" si="0"/>
        <v>890000</v>
      </c>
      <c r="F26" s="422"/>
      <c r="G26" s="413">
        <f t="shared" si="1"/>
        <v>7237.17</v>
      </c>
      <c r="H26" s="413">
        <f t="shared" si="2"/>
        <v>882762.83</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890000</v>
      </c>
      <c r="E28" s="426"/>
      <c r="F28" s="426">
        <f>SUM(F9:F27)</f>
        <v>7237.17</v>
      </c>
      <c r="G28" s="426"/>
      <c r="H28" s="426">
        <f>D28-F28</f>
        <v>882762.83</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774C-78A3-4186-924C-55870FD54640}">
  <sheetPr codeName="Sheet111">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2.28515625" bestFit="1"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1569</v>
      </c>
      <c r="B4" s="126"/>
      <c r="C4" s="127"/>
      <c r="D4" s="128" t="s">
        <v>1566</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1570</v>
      </c>
      <c r="B9" s="409">
        <v>46069</v>
      </c>
      <c r="C9" s="410" t="s">
        <v>107</v>
      </c>
      <c r="D9" s="411">
        <v>1386500</v>
      </c>
      <c r="E9" s="412">
        <f>D9</f>
        <v>1386500</v>
      </c>
      <c r="F9" s="413"/>
      <c r="G9" s="413"/>
      <c r="H9" s="413">
        <f>E9</f>
        <v>1386500</v>
      </c>
      <c r="I9" s="414"/>
    </row>
    <row r="10" spans="1:9" s="330" customFormat="1" ht="12.75" customHeight="1" x14ac:dyDescent="0.25">
      <c r="A10" s="408" t="s">
        <v>1713</v>
      </c>
      <c r="B10" s="240">
        <v>46105</v>
      </c>
      <c r="C10" s="410" t="s">
        <v>1717</v>
      </c>
      <c r="D10" s="412"/>
      <c r="E10" s="412">
        <f t="shared" ref="E10:E26" si="0">E9+D10</f>
        <v>1386500</v>
      </c>
      <c r="F10" s="445">
        <v>10961</v>
      </c>
      <c r="G10" s="413">
        <f t="shared" ref="G10:G26" si="1">G9+F10</f>
        <v>10961</v>
      </c>
      <c r="H10" s="413">
        <f t="shared" ref="H10:H26" si="2">H9-F10+D10</f>
        <v>1375539</v>
      </c>
      <c r="I10" s="482">
        <v>339</v>
      </c>
    </row>
    <row r="11" spans="1:9" s="330" customFormat="1" ht="12.75" customHeight="1" x14ac:dyDescent="0.25">
      <c r="A11" s="408"/>
      <c r="B11" s="409"/>
      <c r="C11" s="410"/>
      <c r="D11" s="412"/>
      <c r="E11" s="412">
        <f t="shared" si="0"/>
        <v>1386500</v>
      </c>
      <c r="F11" s="445"/>
      <c r="G11" s="413">
        <f t="shared" si="1"/>
        <v>10961</v>
      </c>
      <c r="H11" s="413">
        <f t="shared" si="2"/>
        <v>1375539</v>
      </c>
      <c r="I11" s="414"/>
    </row>
    <row r="12" spans="1:9" s="330" customFormat="1" ht="12.75" customHeight="1" x14ac:dyDescent="0.25">
      <c r="A12" s="408"/>
      <c r="B12" s="409"/>
      <c r="C12" s="410"/>
      <c r="D12" s="412"/>
      <c r="E12" s="412">
        <f t="shared" si="0"/>
        <v>1386500</v>
      </c>
      <c r="F12" s="445"/>
      <c r="G12" s="413">
        <f t="shared" si="1"/>
        <v>10961</v>
      </c>
      <c r="H12" s="413">
        <f t="shared" si="2"/>
        <v>1375539</v>
      </c>
      <c r="I12" s="414"/>
    </row>
    <row r="13" spans="1:9" s="330" customFormat="1" ht="12.75" customHeight="1" x14ac:dyDescent="0.25">
      <c r="A13" s="408"/>
      <c r="B13" s="409"/>
      <c r="C13" s="410"/>
      <c r="D13" s="412"/>
      <c r="E13" s="412">
        <f t="shared" si="0"/>
        <v>1386500</v>
      </c>
      <c r="F13" s="445"/>
      <c r="G13" s="413">
        <f t="shared" si="1"/>
        <v>10961</v>
      </c>
      <c r="H13" s="413">
        <f t="shared" si="2"/>
        <v>1375539</v>
      </c>
      <c r="I13" s="414"/>
    </row>
    <row r="14" spans="1:9" s="330" customFormat="1" ht="12.75" customHeight="1" x14ac:dyDescent="0.25">
      <c r="A14" s="408"/>
      <c r="B14" s="409"/>
      <c r="C14" s="410"/>
      <c r="D14" s="411"/>
      <c r="E14" s="412">
        <f t="shared" si="0"/>
        <v>1386500</v>
      </c>
      <c r="F14" s="413"/>
      <c r="G14" s="413">
        <f t="shared" si="1"/>
        <v>10961</v>
      </c>
      <c r="H14" s="413">
        <f t="shared" si="2"/>
        <v>1375539</v>
      </c>
      <c r="I14" s="414"/>
    </row>
    <row r="15" spans="1:9" s="330" customFormat="1" ht="12.75" customHeight="1" x14ac:dyDescent="0.25">
      <c r="A15" s="408"/>
      <c r="B15" s="409"/>
      <c r="C15" s="410"/>
      <c r="D15" s="412"/>
      <c r="E15" s="412">
        <f t="shared" si="0"/>
        <v>1386500</v>
      </c>
      <c r="F15" s="445"/>
      <c r="G15" s="413">
        <f t="shared" si="1"/>
        <v>10961</v>
      </c>
      <c r="H15" s="413">
        <f t="shared" si="2"/>
        <v>1375539</v>
      </c>
      <c r="I15" s="414"/>
    </row>
    <row r="16" spans="1:9" s="330" customFormat="1" ht="12.75" customHeight="1" x14ac:dyDescent="0.25">
      <c r="A16" s="408"/>
      <c r="B16" s="409"/>
      <c r="C16" s="410"/>
      <c r="D16" s="412"/>
      <c r="E16" s="412">
        <f t="shared" si="0"/>
        <v>1386500</v>
      </c>
      <c r="F16" s="445"/>
      <c r="G16" s="413">
        <f t="shared" si="1"/>
        <v>10961</v>
      </c>
      <c r="H16" s="413">
        <f t="shared" si="2"/>
        <v>1375539</v>
      </c>
      <c r="I16" s="414"/>
    </row>
    <row r="17" spans="1:9" s="330" customFormat="1" ht="12.75" customHeight="1" x14ac:dyDescent="0.25">
      <c r="A17" s="408"/>
      <c r="B17" s="409"/>
      <c r="C17" s="410"/>
      <c r="D17" s="412"/>
      <c r="E17" s="412">
        <f t="shared" si="0"/>
        <v>1386500</v>
      </c>
      <c r="F17" s="445"/>
      <c r="G17" s="413">
        <f t="shared" si="1"/>
        <v>10961</v>
      </c>
      <c r="H17" s="413">
        <f t="shared" si="2"/>
        <v>1375539</v>
      </c>
      <c r="I17" s="448"/>
    </row>
    <row r="18" spans="1:9" s="330" customFormat="1" ht="12.75" customHeight="1" x14ac:dyDescent="0.25">
      <c r="A18" s="408"/>
      <c r="B18" s="409"/>
      <c r="C18" s="410"/>
      <c r="D18" s="494"/>
      <c r="E18" s="412">
        <f t="shared" si="0"/>
        <v>1386500</v>
      </c>
      <c r="F18" s="422"/>
      <c r="G18" s="413">
        <f t="shared" si="1"/>
        <v>10961</v>
      </c>
      <c r="H18" s="413">
        <f t="shared" si="2"/>
        <v>1375539</v>
      </c>
      <c r="I18" s="414"/>
    </row>
    <row r="19" spans="1:9" s="330" customFormat="1" ht="12.75" customHeight="1" x14ac:dyDescent="0.25">
      <c r="A19" s="408"/>
      <c r="B19" s="409"/>
      <c r="C19" s="410"/>
      <c r="D19" s="412"/>
      <c r="E19" s="412">
        <f t="shared" si="0"/>
        <v>1386500</v>
      </c>
      <c r="F19" s="445"/>
      <c r="G19" s="413">
        <f t="shared" si="1"/>
        <v>10961</v>
      </c>
      <c r="H19" s="413">
        <f t="shared" si="2"/>
        <v>1375539</v>
      </c>
      <c r="I19" s="414"/>
    </row>
    <row r="20" spans="1:9" s="330" customFormat="1" ht="12.75" customHeight="1" x14ac:dyDescent="0.25">
      <c r="A20" s="408"/>
      <c r="B20" s="409"/>
      <c r="C20" s="410"/>
      <c r="D20" s="412"/>
      <c r="E20" s="412">
        <f t="shared" si="0"/>
        <v>1386500</v>
      </c>
      <c r="F20" s="445"/>
      <c r="G20" s="413">
        <f t="shared" si="1"/>
        <v>10961</v>
      </c>
      <c r="H20" s="413">
        <f t="shared" si="2"/>
        <v>1375539</v>
      </c>
      <c r="I20" s="414"/>
    </row>
    <row r="21" spans="1:9" s="330" customFormat="1" ht="12.75" customHeight="1" x14ac:dyDescent="0.25">
      <c r="A21" s="408"/>
      <c r="B21" s="409"/>
      <c r="C21" s="410"/>
      <c r="D21" s="411"/>
      <c r="E21" s="412">
        <f t="shared" si="0"/>
        <v>1386500</v>
      </c>
      <c r="F21" s="445"/>
      <c r="G21" s="413">
        <f t="shared" si="1"/>
        <v>10961</v>
      </c>
      <c r="H21" s="413">
        <f t="shared" si="2"/>
        <v>1375539</v>
      </c>
      <c r="I21" s="414"/>
    </row>
    <row r="22" spans="1:9" s="330" customFormat="1" ht="12.75" customHeight="1" x14ac:dyDescent="0.25">
      <c r="A22" s="408"/>
      <c r="B22" s="409"/>
      <c r="C22" s="410"/>
      <c r="D22" s="412"/>
      <c r="E22" s="412">
        <f t="shared" si="0"/>
        <v>1386500</v>
      </c>
      <c r="F22" s="445"/>
      <c r="G22" s="413">
        <f t="shared" si="1"/>
        <v>10961</v>
      </c>
      <c r="H22" s="413">
        <f t="shared" si="2"/>
        <v>1375539</v>
      </c>
      <c r="I22" s="414"/>
    </row>
    <row r="23" spans="1:9" s="330" customFormat="1" ht="12.75" customHeight="1" x14ac:dyDescent="0.25">
      <c r="A23" s="408"/>
      <c r="B23" s="409"/>
      <c r="C23" s="410"/>
      <c r="D23" s="412"/>
      <c r="E23" s="412">
        <f t="shared" si="0"/>
        <v>1386500</v>
      </c>
      <c r="F23" s="445"/>
      <c r="G23" s="413">
        <f t="shared" si="1"/>
        <v>10961</v>
      </c>
      <c r="H23" s="413">
        <f t="shared" si="2"/>
        <v>1375539</v>
      </c>
      <c r="I23" s="414"/>
    </row>
    <row r="24" spans="1:9" s="330" customFormat="1" ht="12.75" customHeight="1" x14ac:dyDescent="0.25">
      <c r="A24" s="408"/>
      <c r="B24" s="409"/>
      <c r="C24" s="410"/>
      <c r="D24" s="412"/>
      <c r="E24" s="412">
        <f t="shared" si="0"/>
        <v>1386500</v>
      </c>
      <c r="F24" s="445"/>
      <c r="G24" s="413">
        <f t="shared" si="1"/>
        <v>10961</v>
      </c>
      <c r="H24" s="413">
        <f t="shared" si="2"/>
        <v>1375539</v>
      </c>
      <c r="I24" s="414"/>
    </row>
    <row r="25" spans="1:9" s="330" customFormat="1" ht="12.75" customHeight="1" x14ac:dyDescent="0.25">
      <c r="A25" s="408"/>
      <c r="B25" s="409"/>
      <c r="C25" s="410"/>
      <c r="D25" s="412"/>
      <c r="E25" s="412">
        <f t="shared" si="0"/>
        <v>1386500</v>
      </c>
      <c r="F25" s="445"/>
      <c r="G25" s="413">
        <f t="shared" si="1"/>
        <v>10961</v>
      </c>
      <c r="H25" s="413">
        <f t="shared" si="2"/>
        <v>1375539</v>
      </c>
      <c r="I25" s="414"/>
    </row>
    <row r="26" spans="1:9" s="330" customFormat="1" ht="12.75" customHeight="1" x14ac:dyDescent="0.25">
      <c r="A26" s="408"/>
      <c r="B26" s="409"/>
      <c r="C26" s="410"/>
      <c r="D26" s="412"/>
      <c r="E26" s="412">
        <f t="shared" si="0"/>
        <v>1386500</v>
      </c>
      <c r="F26" s="422"/>
      <c r="G26" s="413">
        <f t="shared" si="1"/>
        <v>10961</v>
      </c>
      <c r="H26" s="413">
        <f t="shared" si="2"/>
        <v>1375539</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1386500</v>
      </c>
      <c r="E28" s="426"/>
      <c r="F28" s="426">
        <f>SUM(F9:F27)</f>
        <v>10961</v>
      </c>
      <c r="G28" s="426"/>
      <c r="H28" s="426">
        <f>D28-F28</f>
        <v>1375539</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t="s">
        <v>1714</v>
      </c>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8CB6-100E-403F-AAEA-DBAF58741CCA}">
  <sheetPr codeName="Sheet112">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1572</v>
      </c>
      <c r="B4" s="126"/>
      <c r="C4" s="127"/>
      <c r="D4" s="128" t="s">
        <v>1573</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1574</v>
      </c>
      <c r="B9" s="409">
        <v>46069</v>
      </c>
      <c r="C9" s="410" t="s">
        <v>107</v>
      </c>
      <c r="D9" s="411">
        <v>529700</v>
      </c>
      <c r="E9" s="412">
        <f>D9</f>
        <v>529700</v>
      </c>
      <c r="F9" s="413"/>
      <c r="G9" s="413"/>
      <c r="H9" s="413">
        <f>E9</f>
        <v>529700</v>
      </c>
      <c r="I9" s="414"/>
    </row>
    <row r="10" spans="1:9" s="330" customFormat="1" ht="12.75" customHeight="1" x14ac:dyDescent="0.25">
      <c r="A10" s="408"/>
      <c r="B10" s="240"/>
      <c r="C10" s="410"/>
      <c r="D10" s="412"/>
      <c r="E10" s="412">
        <f t="shared" ref="E10:E26" si="0">E9+D10</f>
        <v>529700</v>
      </c>
      <c r="F10" s="445"/>
      <c r="G10" s="413">
        <f t="shared" ref="G10:G26" si="1">G9+F10</f>
        <v>0</v>
      </c>
      <c r="H10" s="413">
        <f t="shared" ref="H10:H26" si="2">H9-F10+D10</f>
        <v>529700</v>
      </c>
      <c r="I10" s="414"/>
    </row>
    <row r="11" spans="1:9" s="330" customFormat="1" ht="12.75" customHeight="1" x14ac:dyDescent="0.25">
      <c r="A11" s="408"/>
      <c r="B11" s="409"/>
      <c r="C11" s="410"/>
      <c r="D11" s="412"/>
      <c r="E11" s="412">
        <f t="shared" si="0"/>
        <v>529700</v>
      </c>
      <c r="F11" s="445"/>
      <c r="G11" s="413">
        <f t="shared" si="1"/>
        <v>0</v>
      </c>
      <c r="H11" s="413">
        <f t="shared" si="2"/>
        <v>529700</v>
      </c>
      <c r="I11" s="414"/>
    </row>
    <row r="12" spans="1:9" s="330" customFormat="1" ht="12.75" customHeight="1" x14ac:dyDescent="0.25">
      <c r="A12" s="408"/>
      <c r="B12" s="409"/>
      <c r="C12" s="410"/>
      <c r="D12" s="412"/>
      <c r="E12" s="412">
        <f t="shared" si="0"/>
        <v>529700</v>
      </c>
      <c r="F12" s="445"/>
      <c r="G12" s="413">
        <f t="shared" si="1"/>
        <v>0</v>
      </c>
      <c r="H12" s="413">
        <f t="shared" si="2"/>
        <v>529700</v>
      </c>
      <c r="I12" s="414"/>
    </row>
    <row r="13" spans="1:9" s="330" customFormat="1" ht="12.75" customHeight="1" x14ac:dyDescent="0.25">
      <c r="A13" s="408"/>
      <c r="B13" s="409"/>
      <c r="C13" s="410"/>
      <c r="D13" s="412"/>
      <c r="E13" s="412">
        <f t="shared" si="0"/>
        <v>529700</v>
      </c>
      <c r="F13" s="445"/>
      <c r="G13" s="413">
        <f t="shared" si="1"/>
        <v>0</v>
      </c>
      <c r="H13" s="413">
        <f t="shared" si="2"/>
        <v>529700</v>
      </c>
      <c r="I13" s="414"/>
    </row>
    <row r="14" spans="1:9" s="330" customFormat="1" ht="12.75" customHeight="1" x14ac:dyDescent="0.25">
      <c r="A14" s="408"/>
      <c r="B14" s="409"/>
      <c r="C14" s="410"/>
      <c r="D14" s="411"/>
      <c r="E14" s="412">
        <f t="shared" si="0"/>
        <v>529700</v>
      </c>
      <c r="F14" s="413"/>
      <c r="G14" s="413">
        <f t="shared" si="1"/>
        <v>0</v>
      </c>
      <c r="H14" s="413">
        <f t="shared" si="2"/>
        <v>529700</v>
      </c>
      <c r="I14" s="414"/>
    </row>
    <row r="15" spans="1:9" s="330" customFormat="1" ht="12.75" customHeight="1" x14ac:dyDescent="0.25">
      <c r="A15" s="408"/>
      <c r="B15" s="409"/>
      <c r="C15" s="410"/>
      <c r="D15" s="412"/>
      <c r="E15" s="412">
        <f t="shared" si="0"/>
        <v>529700</v>
      </c>
      <c r="F15" s="445"/>
      <c r="G15" s="413">
        <f t="shared" si="1"/>
        <v>0</v>
      </c>
      <c r="H15" s="413">
        <f t="shared" si="2"/>
        <v>529700</v>
      </c>
      <c r="I15" s="414"/>
    </row>
    <row r="16" spans="1:9" s="330" customFormat="1" ht="12.75" customHeight="1" x14ac:dyDescent="0.25">
      <c r="A16" s="408"/>
      <c r="B16" s="409"/>
      <c r="C16" s="410"/>
      <c r="D16" s="412"/>
      <c r="E16" s="412">
        <f t="shared" si="0"/>
        <v>529700</v>
      </c>
      <c r="F16" s="445"/>
      <c r="G16" s="413">
        <f t="shared" si="1"/>
        <v>0</v>
      </c>
      <c r="H16" s="413">
        <f t="shared" si="2"/>
        <v>529700</v>
      </c>
      <c r="I16" s="414"/>
    </row>
    <row r="17" spans="1:9" s="330" customFormat="1" ht="12.75" customHeight="1" x14ac:dyDescent="0.25">
      <c r="A17" s="408"/>
      <c r="B17" s="409"/>
      <c r="C17" s="410"/>
      <c r="D17" s="412"/>
      <c r="E17" s="412">
        <f t="shared" si="0"/>
        <v>529700</v>
      </c>
      <c r="F17" s="445"/>
      <c r="G17" s="413">
        <f t="shared" si="1"/>
        <v>0</v>
      </c>
      <c r="H17" s="413">
        <f t="shared" si="2"/>
        <v>529700</v>
      </c>
      <c r="I17" s="448"/>
    </row>
    <row r="18" spans="1:9" s="330" customFormat="1" ht="12.75" customHeight="1" x14ac:dyDescent="0.25">
      <c r="A18" s="408"/>
      <c r="B18" s="409"/>
      <c r="C18" s="410"/>
      <c r="D18" s="494"/>
      <c r="E18" s="412">
        <f t="shared" si="0"/>
        <v>529700</v>
      </c>
      <c r="F18" s="422"/>
      <c r="G18" s="413">
        <f t="shared" si="1"/>
        <v>0</v>
      </c>
      <c r="H18" s="413">
        <f t="shared" si="2"/>
        <v>529700</v>
      </c>
      <c r="I18" s="414"/>
    </row>
    <row r="19" spans="1:9" s="330" customFormat="1" ht="12.75" customHeight="1" x14ac:dyDescent="0.25">
      <c r="A19" s="408"/>
      <c r="B19" s="409"/>
      <c r="C19" s="410"/>
      <c r="D19" s="412"/>
      <c r="E19" s="412">
        <f t="shared" si="0"/>
        <v>529700</v>
      </c>
      <c r="F19" s="445"/>
      <c r="G19" s="413">
        <f t="shared" si="1"/>
        <v>0</v>
      </c>
      <c r="H19" s="413">
        <f t="shared" si="2"/>
        <v>529700</v>
      </c>
      <c r="I19" s="414"/>
    </row>
    <row r="20" spans="1:9" s="330" customFormat="1" ht="12.75" customHeight="1" x14ac:dyDescent="0.25">
      <c r="A20" s="408"/>
      <c r="B20" s="409"/>
      <c r="C20" s="410"/>
      <c r="D20" s="412"/>
      <c r="E20" s="412">
        <f t="shared" si="0"/>
        <v>529700</v>
      </c>
      <c r="F20" s="445"/>
      <c r="G20" s="413">
        <f t="shared" si="1"/>
        <v>0</v>
      </c>
      <c r="H20" s="413">
        <f t="shared" si="2"/>
        <v>529700</v>
      </c>
      <c r="I20" s="414"/>
    </row>
    <row r="21" spans="1:9" s="330" customFormat="1" ht="12.75" customHeight="1" x14ac:dyDescent="0.25">
      <c r="A21" s="408"/>
      <c r="B21" s="409"/>
      <c r="C21" s="410"/>
      <c r="D21" s="411"/>
      <c r="E21" s="412">
        <f t="shared" si="0"/>
        <v>529700</v>
      </c>
      <c r="F21" s="445"/>
      <c r="G21" s="413">
        <f t="shared" si="1"/>
        <v>0</v>
      </c>
      <c r="H21" s="413">
        <f t="shared" si="2"/>
        <v>529700</v>
      </c>
      <c r="I21" s="414"/>
    </row>
    <row r="22" spans="1:9" s="330" customFormat="1" ht="12.75" customHeight="1" x14ac:dyDescent="0.25">
      <c r="A22" s="408"/>
      <c r="B22" s="409"/>
      <c r="C22" s="410"/>
      <c r="D22" s="412"/>
      <c r="E22" s="412">
        <f t="shared" si="0"/>
        <v>529700</v>
      </c>
      <c r="F22" s="445"/>
      <c r="G22" s="413">
        <f t="shared" si="1"/>
        <v>0</v>
      </c>
      <c r="H22" s="413">
        <f t="shared" si="2"/>
        <v>529700</v>
      </c>
      <c r="I22" s="414"/>
    </row>
    <row r="23" spans="1:9" s="330" customFormat="1" ht="12.75" customHeight="1" x14ac:dyDescent="0.25">
      <c r="A23" s="408"/>
      <c r="B23" s="409"/>
      <c r="C23" s="410"/>
      <c r="D23" s="412"/>
      <c r="E23" s="412">
        <f t="shared" si="0"/>
        <v>529700</v>
      </c>
      <c r="F23" s="445"/>
      <c r="G23" s="413">
        <f t="shared" si="1"/>
        <v>0</v>
      </c>
      <c r="H23" s="413">
        <f t="shared" si="2"/>
        <v>529700</v>
      </c>
      <c r="I23" s="414"/>
    </row>
    <row r="24" spans="1:9" s="330" customFormat="1" ht="12.75" customHeight="1" x14ac:dyDescent="0.25">
      <c r="A24" s="408"/>
      <c r="B24" s="409"/>
      <c r="C24" s="410"/>
      <c r="D24" s="412"/>
      <c r="E24" s="412">
        <f t="shared" si="0"/>
        <v>529700</v>
      </c>
      <c r="F24" s="445"/>
      <c r="G24" s="413">
        <f t="shared" si="1"/>
        <v>0</v>
      </c>
      <c r="H24" s="413">
        <f t="shared" si="2"/>
        <v>529700</v>
      </c>
      <c r="I24" s="414"/>
    </row>
    <row r="25" spans="1:9" s="330" customFormat="1" ht="12.75" customHeight="1" x14ac:dyDescent="0.25">
      <c r="A25" s="408"/>
      <c r="B25" s="409"/>
      <c r="C25" s="410"/>
      <c r="D25" s="412"/>
      <c r="E25" s="412">
        <f t="shared" si="0"/>
        <v>529700</v>
      </c>
      <c r="F25" s="445"/>
      <c r="G25" s="413">
        <f t="shared" si="1"/>
        <v>0</v>
      </c>
      <c r="H25" s="413">
        <f t="shared" si="2"/>
        <v>529700</v>
      </c>
      <c r="I25" s="414"/>
    </row>
    <row r="26" spans="1:9" s="330" customFormat="1" ht="12.75" customHeight="1" x14ac:dyDescent="0.25">
      <c r="A26" s="408"/>
      <c r="B26" s="409"/>
      <c r="C26" s="410"/>
      <c r="D26" s="412"/>
      <c r="E26" s="412">
        <f t="shared" si="0"/>
        <v>529700</v>
      </c>
      <c r="F26" s="422"/>
      <c r="G26" s="413">
        <f t="shared" si="1"/>
        <v>0</v>
      </c>
      <c r="H26" s="413">
        <f t="shared" si="2"/>
        <v>529700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529700</v>
      </c>
      <c r="E28" s="426"/>
      <c r="F28" s="426">
        <f>SUM(F9:F27)</f>
        <v>0</v>
      </c>
      <c r="G28" s="426"/>
      <c r="H28" s="426">
        <f>D28-F28</f>
        <v>529700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9FF9-8956-4E74-B1CE-A0DA8D6EAABA}">
  <sheetPr codeName="Sheet113">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1578</v>
      </c>
      <c r="B4" s="126"/>
      <c r="C4" s="127"/>
      <c r="D4" s="128" t="s">
        <v>1576</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1577</v>
      </c>
      <c r="B9" s="409">
        <v>46069</v>
      </c>
      <c r="C9" s="410" t="s">
        <v>107</v>
      </c>
      <c r="D9" s="411">
        <v>1095100</v>
      </c>
      <c r="E9" s="412">
        <f>D9</f>
        <v>1095100</v>
      </c>
      <c r="F9" s="413"/>
      <c r="G9" s="413"/>
      <c r="H9" s="413">
        <f>E9</f>
        <v>1095100</v>
      </c>
      <c r="I9" s="414"/>
    </row>
    <row r="10" spans="1:9" s="330" customFormat="1" ht="12.75" customHeight="1" x14ac:dyDescent="0.25">
      <c r="A10" s="408"/>
      <c r="B10" s="240"/>
      <c r="C10" s="410"/>
      <c r="D10" s="412"/>
      <c r="E10" s="412">
        <f t="shared" ref="E10:E26" si="0">E9+D10</f>
        <v>1095100</v>
      </c>
      <c r="F10" s="445"/>
      <c r="G10" s="413">
        <f t="shared" ref="G10:G26" si="1">G9+F10</f>
        <v>0</v>
      </c>
      <c r="H10" s="413">
        <f t="shared" ref="H10:H26" si="2">H9-F10+D10</f>
        <v>1095100</v>
      </c>
      <c r="I10" s="414"/>
    </row>
    <row r="11" spans="1:9" s="330" customFormat="1" ht="12.75" customHeight="1" x14ac:dyDescent="0.25">
      <c r="A11" s="408"/>
      <c r="B11" s="409"/>
      <c r="C11" s="410"/>
      <c r="D11" s="412"/>
      <c r="E11" s="412">
        <f t="shared" si="0"/>
        <v>1095100</v>
      </c>
      <c r="F11" s="445"/>
      <c r="G11" s="413">
        <f t="shared" si="1"/>
        <v>0</v>
      </c>
      <c r="H11" s="413">
        <f t="shared" si="2"/>
        <v>1095100</v>
      </c>
      <c r="I11" s="414"/>
    </row>
    <row r="12" spans="1:9" s="330" customFormat="1" ht="12.75" customHeight="1" x14ac:dyDescent="0.25">
      <c r="A12" s="408"/>
      <c r="B12" s="409"/>
      <c r="C12" s="410"/>
      <c r="D12" s="412"/>
      <c r="E12" s="412">
        <f t="shared" si="0"/>
        <v>1095100</v>
      </c>
      <c r="F12" s="445"/>
      <c r="G12" s="413">
        <f t="shared" si="1"/>
        <v>0</v>
      </c>
      <c r="H12" s="413">
        <f t="shared" si="2"/>
        <v>1095100</v>
      </c>
      <c r="I12" s="414"/>
    </row>
    <row r="13" spans="1:9" s="330" customFormat="1" ht="12.75" customHeight="1" x14ac:dyDescent="0.25">
      <c r="A13" s="408"/>
      <c r="B13" s="409"/>
      <c r="C13" s="410"/>
      <c r="D13" s="412"/>
      <c r="E13" s="412">
        <f t="shared" si="0"/>
        <v>1095100</v>
      </c>
      <c r="F13" s="445"/>
      <c r="G13" s="413">
        <f t="shared" si="1"/>
        <v>0</v>
      </c>
      <c r="H13" s="413">
        <f t="shared" si="2"/>
        <v>1095100</v>
      </c>
      <c r="I13" s="414"/>
    </row>
    <row r="14" spans="1:9" s="330" customFormat="1" ht="12.75" customHeight="1" x14ac:dyDescent="0.25">
      <c r="A14" s="408"/>
      <c r="B14" s="409"/>
      <c r="C14" s="410"/>
      <c r="D14" s="411"/>
      <c r="E14" s="412">
        <f t="shared" si="0"/>
        <v>1095100</v>
      </c>
      <c r="F14" s="413"/>
      <c r="G14" s="413">
        <f t="shared" si="1"/>
        <v>0</v>
      </c>
      <c r="H14" s="413">
        <f t="shared" si="2"/>
        <v>1095100</v>
      </c>
      <c r="I14" s="414"/>
    </row>
    <row r="15" spans="1:9" s="330" customFormat="1" ht="12.75" customHeight="1" x14ac:dyDescent="0.25">
      <c r="A15" s="408"/>
      <c r="B15" s="409"/>
      <c r="C15" s="410"/>
      <c r="D15" s="412"/>
      <c r="E15" s="412">
        <f t="shared" si="0"/>
        <v>1095100</v>
      </c>
      <c r="F15" s="445"/>
      <c r="G15" s="413">
        <f t="shared" si="1"/>
        <v>0</v>
      </c>
      <c r="H15" s="413">
        <f t="shared" si="2"/>
        <v>1095100</v>
      </c>
      <c r="I15" s="414"/>
    </row>
    <row r="16" spans="1:9" s="330" customFormat="1" ht="12.75" customHeight="1" x14ac:dyDescent="0.25">
      <c r="A16" s="408"/>
      <c r="B16" s="409"/>
      <c r="C16" s="410"/>
      <c r="D16" s="412"/>
      <c r="E16" s="412">
        <f t="shared" si="0"/>
        <v>1095100</v>
      </c>
      <c r="F16" s="445"/>
      <c r="G16" s="413">
        <f t="shared" si="1"/>
        <v>0</v>
      </c>
      <c r="H16" s="413">
        <f t="shared" si="2"/>
        <v>1095100</v>
      </c>
      <c r="I16" s="414"/>
    </row>
    <row r="17" spans="1:9" s="330" customFormat="1" ht="12.75" customHeight="1" x14ac:dyDescent="0.25">
      <c r="A17" s="408"/>
      <c r="B17" s="409"/>
      <c r="C17" s="410"/>
      <c r="D17" s="412"/>
      <c r="E17" s="412">
        <f t="shared" si="0"/>
        <v>1095100</v>
      </c>
      <c r="F17" s="445"/>
      <c r="G17" s="413">
        <f t="shared" si="1"/>
        <v>0</v>
      </c>
      <c r="H17" s="413">
        <f t="shared" si="2"/>
        <v>1095100</v>
      </c>
      <c r="I17" s="448"/>
    </row>
    <row r="18" spans="1:9" s="330" customFormat="1" ht="12.75" customHeight="1" x14ac:dyDescent="0.25">
      <c r="A18" s="408"/>
      <c r="B18" s="409"/>
      <c r="C18" s="410"/>
      <c r="D18" s="494"/>
      <c r="E18" s="412">
        <f t="shared" si="0"/>
        <v>1095100</v>
      </c>
      <c r="F18" s="422"/>
      <c r="G18" s="413">
        <f t="shared" si="1"/>
        <v>0</v>
      </c>
      <c r="H18" s="413">
        <f t="shared" si="2"/>
        <v>1095100</v>
      </c>
      <c r="I18" s="414"/>
    </row>
    <row r="19" spans="1:9" s="330" customFormat="1" ht="12.75" customHeight="1" x14ac:dyDescent="0.25">
      <c r="A19" s="408"/>
      <c r="B19" s="409"/>
      <c r="C19" s="410"/>
      <c r="D19" s="412"/>
      <c r="E19" s="412">
        <f t="shared" si="0"/>
        <v>1095100</v>
      </c>
      <c r="F19" s="445"/>
      <c r="G19" s="413">
        <f t="shared" si="1"/>
        <v>0</v>
      </c>
      <c r="H19" s="413">
        <f t="shared" si="2"/>
        <v>1095100</v>
      </c>
      <c r="I19" s="414"/>
    </row>
    <row r="20" spans="1:9" s="330" customFormat="1" ht="12.75" customHeight="1" x14ac:dyDescent="0.25">
      <c r="A20" s="408"/>
      <c r="B20" s="409"/>
      <c r="C20" s="410"/>
      <c r="D20" s="412"/>
      <c r="E20" s="412">
        <f t="shared" si="0"/>
        <v>1095100</v>
      </c>
      <c r="F20" s="445"/>
      <c r="G20" s="413">
        <f t="shared" si="1"/>
        <v>0</v>
      </c>
      <c r="H20" s="413">
        <f t="shared" si="2"/>
        <v>1095100</v>
      </c>
      <c r="I20" s="414"/>
    </row>
    <row r="21" spans="1:9" s="330" customFormat="1" ht="12.75" customHeight="1" x14ac:dyDescent="0.25">
      <c r="A21" s="408"/>
      <c r="B21" s="409"/>
      <c r="C21" s="410"/>
      <c r="D21" s="411"/>
      <c r="E21" s="412">
        <f t="shared" si="0"/>
        <v>1095100</v>
      </c>
      <c r="F21" s="445"/>
      <c r="G21" s="413">
        <f t="shared" si="1"/>
        <v>0</v>
      </c>
      <c r="H21" s="413">
        <f t="shared" si="2"/>
        <v>1095100</v>
      </c>
      <c r="I21" s="414"/>
    </row>
    <row r="22" spans="1:9" s="330" customFormat="1" ht="12.75" customHeight="1" x14ac:dyDescent="0.25">
      <c r="A22" s="408"/>
      <c r="B22" s="409"/>
      <c r="C22" s="410"/>
      <c r="D22" s="412"/>
      <c r="E22" s="412">
        <f t="shared" si="0"/>
        <v>1095100</v>
      </c>
      <c r="F22" s="445"/>
      <c r="G22" s="413">
        <f t="shared" si="1"/>
        <v>0</v>
      </c>
      <c r="H22" s="413">
        <f t="shared" si="2"/>
        <v>1095100</v>
      </c>
      <c r="I22" s="414"/>
    </row>
    <row r="23" spans="1:9" s="330" customFormat="1" ht="12.75" customHeight="1" x14ac:dyDescent="0.25">
      <c r="A23" s="408"/>
      <c r="B23" s="409"/>
      <c r="C23" s="410"/>
      <c r="D23" s="412"/>
      <c r="E23" s="412">
        <f t="shared" si="0"/>
        <v>1095100</v>
      </c>
      <c r="F23" s="445"/>
      <c r="G23" s="413">
        <f t="shared" si="1"/>
        <v>0</v>
      </c>
      <c r="H23" s="413">
        <f t="shared" si="2"/>
        <v>1095100</v>
      </c>
      <c r="I23" s="414"/>
    </row>
    <row r="24" spans="1:9" s="330" customFormat="1" ht="12.75" customHeight="1" x14ac:dyDescent="0.25">
      <c r="A24" s="408"/>
      <c r="B24" s="409"/>
      <c r="C24" s="410"/>
      <c r="D24" s="412"/>
      <c r="E24" s="412">
        <f t="shared" si="0"/>
        <v>1095100</v>
      </c>
      <c r="F24" s="445"/>
      <c r="G24" s="413">
        <f t="shared" si="1"/>
        <v>0</v>
      </c>
      <c r="H24" s="413">
        <f t="shared" si="2"/>
        <v>1095100</v>
      </c>
      <c r="I24" s="414"/>
    </row>
    <row r="25" spans="1:9" s="330" customFormat="1" ht="12.75" customHeight="1" x14ac:dyDescent="0.25">
      <c r="A25" s="408"/>
      <c r="B25" s="409"/>
      <c r="C25" s="410"/>
      <c r="D25" s="412"/>
      <c r="E25" s="412">
        <f t="shared" si="0"/>
        <v>1095100</v>
      </c>
      <c r="F25" s="445"/>
      <c r="G25" s="413">
        <f t="shared" si="1"/>
        <v>0</v>
      </c>
      <c r="H25" s="413">
        <f t="shared" si="2"/>
        <v>1095100</v>
      </c>
      <c r="I25" s="414"/>
    </row>
    <row r="26" spans="1:9" s="330" customFormat="1" ht="12.75" customHeight="1" x14ac:dyDescent="0.25">
      <c r="A26" s="408"/>
      <c r="B26" s="409"/>
      <c r="C26" s="410"/>
      <c r="D26" s="412"/>
      <c r="E26" s="412">
        <f t="shared" si="0"/>
        <v>1095100</v>
      </c>
      <c r="F26" s="422"/>
      <c r="G26" s="413">
        <f t="shared" si="1"/>
        <v>0</v>
      </c>
      <c r="H26" s="413">
        <f t="shared" si="2"/>
        <v>1095100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1095100</v>
      </c>
      <c r="E28" s="426"/>
      <c r="F28" s="426">
        <f>SUM(F9:F27)</f>
        <v>0</v>
      </c>
      <c r="G28" s="426"/>
      <c r="H28" s="426">
        <f>D28-F28</f>
        <v>1095100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30C0-1BA7-42D9-8815-EE51C0A3CFD7}">
  <sheetPr codeName="Sheet114">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1580</v>
      </c>
      <c r="B4" s="126"/>
      <c r="C4" s="127"/>
      <c r="D4" s="128" t="s">
        <v>1581</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1582</v>
      </c>
      <c r="B9" s="409">
        <v>46069</v>
      </c>
      <c r="C9" s="410" t="s">
        <v>107</v>
      </c>
      <c r="D9" s="411">
        <v>6227600</v>
      </c>
      <c r="E9" s="412">
        <f>D9</f>
        <v>6227600</v>
      </c>
      <c r="F9" s="413"/>
      <c r="G9" s="413"/>
      <c r="H9" s="413">
        <f>E9</f>
        <v>6227600</v>
      </c>
      <c r="I9" s="414"/>
    </row>
    <row r="10" spans="1:9" s="330" customFormat="1" ht="12.75" customHeight="1" x14ac:dyDescent="0.25">
      <c r="A10" s="408" t="s">
        <v>1718</v>
      </c>
      <c r="B10" s="240">
        <v>46105</v>
      </c>
      <c r="C10" s="410" t="s">
        <v>1712</v>
      </c>
      <c r="D10" s="412"/>
      <c r="E10" s="412">
        <f t="shared" ref="E10:E26" si="0">E9+D10</f>
        <v>6227600</v>
      </c>
      <c r="F10" s="445">
        <v>58959.51</v>
      </c>
      <c r="G10" s="413">
        <f t="shared" ref="G10:G26" si="1">G9+F10</f>
        <v>58959.51</v>
      </c>
      <c r="H10" s="413">
        <f t="shared" ref="H10:H26" si="2">H9-F10+D10</f>
        <v>6168640.4900000002</v>
      </c>
      <c r="I10" s="482">
        <v>1823.49</v>
      </c>
    </row>
    <row r="11" spans="1:9" s="330" customFormat="1" ht="12.75" customHeight="1" x14ac:dyDescent="0.25">
      <c r="A11" s="408"/>
      <c r="B11" s="409"/>
      <c r="C11" s="410"/>
      <c r="D11" s="412"/>
      <c r="E11" s="412">
        <f t="shared" si="0"/>
        <v>6227600</v>
      </c>
      <c r="F11" s="445"/>
      <c r="G11" s="413">
        <f t="shared" si="1"/>
        <v>58959.51</v>
      </c>
      <c r="H11" s="413">
        <f t="shared" si="2"/>
        <v>6168640.4900000002</v>
      </c>
      <c r="I11" s="414"/>
    </row>
    <row r="12" spans="1:9" s="330" customFormat="1" ht="12.75" customHeight="1" x14ac:dyDescent="0.25">
      <c r="A12" s="408"/>
      <c r="B12" s="409"/>
      <c r="C12" s="410"/>
      <c r="D12" s="412"/>
      <c r="E12" s="412">
        <f t="shared" si="0"/>
        <v>6227600</v>
      </c>
      <c r="F12" s="445"/>
      <c r="G12" s="413">
        <f t="shared" si="1"/>
        <v>58959.51</v>
      </c>
      <c r="H12" s="413">
        <f t="shared" si="2"/>
        <v>6168640.4900000002</v>
      </c>
      <c r="I12" s="414"/>
    </row>
    <row r="13" spans="1:9" s="330" customFormat="1" ht="12.75" customHeight="1" x14ac:dyDescent="0.25">
      <c r="A13" s="408"/>
      <c r="B13" s="409"/>
      <c r="C13" s="410"/>
      <c r="D13" s="412"/>
      <c r="E13" s="412">
        <f t="shared" si="0"/>
        <v>6227600</v>
      </c>
      <c r="F13" s="445"/>
      <c r="G13" s="413">
        <f t="shared" si="1"/>
        <v>58959.51</v>
      </c>
      <c r="H13" s="413">
        <f t="shared" si="2"/>
        <v>6168640.4900000002</v>
      </c>
      <c r="I13" s="414"/>
    </row>
    <row r="14" spans="1:9" s="330" customFormat="1" ht="12.75" customHeight="1" x14ac:dyDescent="0.25">
      <c r="A14" s="408"/>
      <c r="B14" s="409"/>
      <c r="C14" s="410"/>
      <c r="D14" s="411"/>
      <c r="E14" s="412">
        <f t="shared" si="0"/>
        <v>6227600</v>
      </c>
      <c r="F14" s="413"/>
      <c r="G14" s="413">
        <f t="shared" si="1"/>
        <v>58959.51</v>
      </c>
      <c r="H14" s="413">
        <f t="shared" si="2"/>
        <v>6168640.4900000002</v>
      </c>
      <c r="I14" s="414"/>
    </row>
    <row r="15" spans="1:9" s="330" customFormat="1" ht="12.75" customHeight="1" x14ac:dyDescent="0.25">
      <c r="A15" s="408"/>
      <c r="B15" s="409"/>
      <c r="C15" s="410"/>
      <c r="D15" s="412"/>
      <c r="E15" s="412">
        <f t="shared" si="0"/>
        <v>6227600</v>
      </c>
      <c r="F15" s="445"/>
      <c r="G15" s="413">
        <f t="shared" si="1"/>
        <v>58959.51</v>
      </c>
      <c r="H15" s="413">
        <f t="shared" si="2"/>
        <v>6168640.4900000002</v>
      </c>
      <c r="I15" s="414"/>
    </row>
    <row r="16" spans="1:9" s="330" customFormat="1" ht="12.75" customHeight="1" x14ac:dyDescent="0.25">
      <c r="A16" s="408"/>
      <c r="B16" s="409"/>
      <c r="C16" s="410"/>
      <c r="D16" s="412"/>
      <c r="E16" s="412">
        <f t="shared" si="0"/>
        <v>6227600</v>
      </c>
      <c r="F16" s="445"/>
      <c r="G16" s="413">
        <f t="shared" si="1"/>
        <v>58959.51</v>
      </c>
      <c r="H16" s="413">
        <f t="shared" si="2"/>
        <v>6168640.4900000002</v>
      </c>
      <c r="I16" s="414"/>
    </row>
    <row r="17" spans="1:9" s="330" customFormat="1" ht="12.75" customHeight="1" x14ac:dyDescent="0.25">
      <c r="A17" s="408"/>
      <c r="B17" s="409"/>
      <c r="C17" s="410"/>
      <c r="D17" s="412"/>
      <c r="E17" s="412">
        <f t="shared" si="0"/>
        <v>6227600</v>
      </c>
      <c r="F17" s="445"/>
      <c r="G17" s="413">
        <f t="shared" si="1"/>
        <v>58959.51</v>
      </c>
      <c r="H17" s="413">
        <f t="shared" si="2"/>
        <v>6168640.4900000002</v>
      </c>
      <c r="I17" s="448"/>
    </row>
    <row r="18" spans="1:9" s="330" customFormat="1" ht="12.75" customHeight="1" x14ac:dyDescent="0.25">
      <c r="A18" s="408"/>
      <c r="B18" s="409"/>
      <c r="C18" s="410"/>
      <c r="D18" s="494"/>
      <c r="E18" s="412">
        <f t="shared" si="0"/>
        <v>6227600</v>
      </c>
      <c r="F18" s="422"/>
      <c r="G18" s="413">
        <f t="shared" si="1"/>
        <v>58959.51</v>
      </c>
      <c r="H18" s="413">
        <f t="shared" si="2"/>
        <v>6168640.4900000002</v>
      </c>
      <c r="I18" s="414"/>
    </row>
    <row r="19" spans="1:9" s="330" customFormat="1" ht="12.75" customHeight="1" x14ac:dyDescent="0.25">
      <c r="A19" s="408"/>
      <c r="B19" s="409"/>
      <c r="C19" s="410"/>
      <c r="D19" s="412"/>
      <c r="E19" s="412">
        <f t="shared" si="0"/>
        <v>6227600</v>
      </c>
      <c r="F19" s="445"/>
      <c r="G19" s="413">
        <f t="shared" si="1"/>
        <v>58959.51</v>
      </c>
      <c r="H19" s="413">
        <f t="shared" si="2"/>
        <v>6168640.4900000002</v>
      </c>
      <c r="I19" s="414"/>
    </row>
    <row r="20" spans="1:9" s="330" customFormat="1" ht="12.75" customHeight="1" x14ac:dyDescent="0.25">
      <c r="A20" s="408"/>
      <c r="B20" s="409"/>
      <c r="C20" s="410"/>
      <c r="D20" s="412"/>
      <c r="E20" s="412">
        <f t="shared" si="0"/>
        <v>6227600</v>
      </c>
      <c r="F20" s="445"/>
      <c r="G20" s="413">
        <f t="shared" si="1"/>
        <v>58959.51</v>
      </c>
      <c r="H20" s="413">
        <f t="shared" si="2"/>
        <v>6168640.4900000002</v>
      </c>
      <c r="I20" s="414"/>
    </row>
    <row r="21" spans="1:9" s="330" customFormat="1" ht="12.75" customHeight="1" x14ac:dyDescent="0.25">
      <c r="A21" s="408"/>
      <c r="B21" s="409"/>
      <c r="C21" s="410"/>
      <c r="D21" s="411"/>
      <c r="E21" s="412">
        <f t="shared" si="0"/>
        <v>6227600</v>
      </c>
      <c r="F21" s="445"/>
      <c r="G21" s="413">
        <f t="shared" si="1"/>
        <v>58959.51</v>
      </c>
      <c r="H21" s="413">
        <f t="shared" si="2"/>
        <v>6168640.4900000002</v>
      </c>
      <c r="I21" s="414"/>
    </row>
    <row r="22" spans="1:9" s="330" customFormat="1" ht="12.75" customHeight="1" x14ac:dyDescent="0.25">
      <c r="A22" s="408"/>
      <c r="B22" s="409"/>
      <c r="C22" s="410"/>
      <c r="D22" s="412"/>
      <c r="E22" s="412">
        <f t="shared" si="0"/>
        <v>6227600</v>
      </c>
      <c r="F22" s="445"/>
      <c r="G22" s="413">
        <f t="shared" si="1"/>
        <v>58959.51</v>
      </c>
      <c r="H22" s="413">
        <f t="shared" si="2"/>
        <v>6168640.4900000002</v>
      </c>
      <c r="I22" s="414"/>
    </row>
    <row r="23" spans="1:9" s="330" customFormat="1" ht="12.75" customHeight="1" x14ac:dyDescent="0.25">
      <c r="A23" s="408"/>
      <c r="B23" s="409"/>
      <c r="C23" s="410"/>
      <c r="D23" s="412"/>
      <c r="E23" s="412">
        <f t="shared" si="0"/>
        <v>6227600</v>
      </c>
      <c r="F23" s="445"/>
      <c r="G23" s="413">
        <f t="shared" si="1"/>
        <v>58959.51</v>
      </c>
      <c r="H23" s="413">
        <f t="shared" si="2"/>
        <v>6168640.4900000002</v>
      </c>
      <c r="I23" s="414"/>
    </row>
    <row r="24" spans="1:9" s="330" customFormat="1" ht="12.75" customHeight="1" x14ac:dyDescent="0.25">
      <c r="A24" s="408"/>
      <c r="B24" s="409"/>
      <c r="C24" s="410"/>
      <c r="D24" s="412"/>
      <c r="E24" s="412">
        <f t="shared" si="0"/>
        <v>6227600</v>
      </c>
      <c r="F24" s="445"/>
      <c r="G24" s="413">
        <f t="shared" si="1"/>
        <v>58959.51</v>
      </c>
      <c r="H24" s="413">
        <f t="shared" si="2"/>
        <v>6168640.4900000002</v>
      </c>
      <c r="I24" s="414"/>
    </row>
    <row r="25" spans="1:9" s="330" customFormat="1" ht="12.75" customHeight="1" x14ac:dyDescent="0.25">
      <c r="A25" s="408"/>
      <c r="B25" s="409"/>
      <c r="C25" s="410"/>
      <c r="D25" s="412"/>
      <c r="E25" s="412">
        <f t="shared" si="0"/>
        <v>6227600</v>
      </c>
      <c r="F25" s="445"/>
      <c r="G25" s="413">
        <f t="shared" si="1"/>
        <v>58959.51</v>
      </c>
      <c r="H25" s="413">
        <f t="shared" si="2"/>
        <v>6168640.4900000002</v>
      </c>
      <c r="I25" s="414"/>
    </row>
    <row r="26" spans="1:9" s="330" customFormat="1" ht="12.75" customHeight="1" x14ac:dyDescent="0.25">
      <c r="A26" s="408"/>
      <c r="B26" s="409"/>
      <c r="C26" s="410"/>
      <c r="D26" s="412"/>
      <c r="E26" s="412">
        <f t="shared" si="0"/>
        <v>6227600</v>
      </c>
      <c r="F26" s="422"/>
      <c r="G26" s="413">
        <f t="shared" si="1"/>
        <v>58959.51</v>
      </c>
      <c r="H26" s="413">
        <f t="shared" si="2"/>
        <v>6168640.4900000002</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6227600</v>
      </c>
      <c r="E28" s="426"/>
      <c r="F28" s="426">
        <f>SUM(F9:F27)</f>
        <v>58959.51</v>
      </c>
      <c r="G28" s="426"/>
      <c r="H28" s="426">
        <f>D28-F28</f>
        <v>6168640.4900000002</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053A-D6F2-45C6-9A7A-97A4F950B8A3}">
  <sheetPr codeName="Sheet115">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1583</v>
      </c>
      <c r="B4" s="126"/>
      <c r="C4" s="127"/>
      <c r="D4" s="128" t="s">
        <v>1584</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1585</v>
      </c>
      <c r="B9" s="409">
        <v>46069</v>
      </c>
      <c r="C9" s="410" t="s">
        <v>107</v>
      </c>
      <c r="D9" s="411">
        <v>307100</v>
      </c>
      <c r="E9" s="412">
        <f>D9</f>
        <v>307100</v>
      </c>
      <c r="F9" s="413"/>
      <c r="G9" s="413"/>
      <c r="H9" s="413">
        <f>E9</f>
        <v>307100</v>
      </c>
      <c r="I9" s="414"/>
    </row>
    <row r="10" spans="1:9" s="330" customFormat="1" ht="12.75" customHeight="1" x14ac:dyDescent="0.25">
      <c r="A10" s="408"/>
      <c r="B10" s="240"/>
      <c r="C10" s="410"/>
      <c r="D10" s="412"/>
      <c r="E10" s="412">
        <f t="shared" ref="E10:E26" si="0">E9+D10</f>
        <v>307100</v>
      </c>
      <c r="F10" s="445"/>
      <c r="G10" s="413">
        <f t="shared" ref="G10:G26" si="1">G9+F10</f>
        <v>0</v>
      </c>
      <c r="H10" s="413">
        <f t="shared" ref="H10:H26" si="2">H9-F10+D10</f>
        <v>307100</v>
      </c>
      <c r="I10" s="414"/>
    </row>
    <row r="11" spans="1:9" s="330" customFormat="1" ht="12.75" customHeight="1" x14ac:dyDescent="0.25">
      <c r="A11" s="408"/>
      <c r="B11" s="409"/>
      <c r="C11" s="410"/>
      <c r="D11" s="412"/>
      <c r="E11" s="412">
        <f t="shared" si="0"/>
        <v>307100</v>
      </c>
      <c r="F11" s="445"/>
      <c r="G11" s="413">
        <f t="shared" si="1"/>
        <v>0</v>
      </c>
      <c r="H11" s="413">
        <f t="shared" si="2"/>
        <v>307100</v>
      </c>
      <c r="I11" s="414"/>
    </row>
    <row r="12" spans="1:9" s="330" customFormat="1" ht="12.75" customHeight="1" x14ac:dyDescent="0.25">
      <c r="A12" s="408"/>
      <c r="B12" s="409"/>
      <c r="C12" s="410"/>
      <c r="D12" s="412"/>
      <c r="E12" s="412">
        <f t="shared" si="0"/>
        <v>307100</v>
      </c>
      <c r="F12" s="445"/>
      <c r="G12" s="413">
        <f t="shared" si="1"/>
        <v>0</v>
      </c>
      <c r="H12" s="413">
        <f t="shared" si="2"/>
        <v>307100</v>
      </c>
      <c r="I12" s="414"/>
    </row>
    <row r="13" spans="1:9" s="330" customFormat="1" ht="12.75" customHeight="1" x14ac:dyDescent="0.25">
      <c r="A13" s="408"/>
      <c r="B13" s="409"/>
      <c r="C13" s="410"/>
      <c r="D13" s="412"/>
      <c r="E13" s="412">
        <f t="shared" si="0"/>
        <v>307100</v>
      </c>
      <c r="F13" s="445"/>
      <c r="G13" s="413">
        <f t="shared" si="1"/>
        <v>0</v>
      </c>
      <c r="H13" s="413">
        <f t="shared" si="2"/>
        <v>307100</v>
      </c>
      <c r="I13" s="414"/>
    </row>
    <row r="14" spans="1:9" s="330" customFormat="1" ht="12.75" customHeight="1" x14ac:dyDescent="0.25">
      <c r="A14" s="408"/>
      <c r="B14" s="409"/>
      <c r="C14" s="410"/>
      <c r="D14" s="411"/>
      <c r="E14" s="412">
        <f t="shared" si="0"/>
        <v>307100</v>
      </c>
      <c r="F14" s="413"/>
      <c r="G14" s="413">
        <f t="shared" si="1"/>
        <v>0</v>
      </c>
      <c r="H14" s="413">
        <f t="shared" si="2"/>
        <v>307100</v>
      </c>
      <c r="I14" s="414"/>
    </row>
    <row r="15" spans="1:9" s="330" customFormat="1" ht="12.75" customHeight="1" x14ac:dyDescent="0.25">
      <c r="A15" s="408"/>
      <c r="B15" s="409"/>
      <c r="C15" s="410"/>
      <c r="D15" s="412"/>
      <c r="E15" s="412">
        <f t="shared" si="0"/>
        <v>307100</v>
      </c>
      <c r="F15" s="445"/>
      <c r="G15" s="413">
        <f t="shared" si="1"/>
        <v>0</v>
      </c>
      <c r="H15" s="413">
        <f t="shared" si="2"/>
        <v>307100</v>
      </c>
      <c r="I15" s="414"/>
    </row>
    <row r="16" spans="1:9" s="330" customFormat="1" ht="12.75" customHeight="1" x14ac:dyDescent="0.25">
      <c r="A16" s="408"/>
      <c r="B16" s="409"/>
      <c r="C16" s="410"/>
      <c r="D16" s="412"/>
      <c r="E16" s="412">
        <f t="shared" si="0"/>
        <v>307100</v>
      </c>
      <c r="F16" s="445"/>
      <c r="G16" s="413">
        <f t="shared" si="1"/>
        <v>0</v>
      </c>
      <c r="H16" s="413">
        <f t="shared" si="2"/>
        <v>307100</v>
      </c>
      <c r="I16" s="414"/>
    </row>
    <row r="17" spans="1:9" s="330" customFormat="1" ht="12.75" customHeight="1" x14ac:dyDescent="0.25">
      <c r="A17" s="408"/>
      <c r="B17" s="409"/>
      <c r="C17" s="410"/>
      <c r="D17" s="412"/>
      <c r="E17" s="412">
        <f t="shared" si="0"/>
        <v>307100</v>
      </c>
      <c r="F17" s="445"/>
      <c r="G17" s="413">
        <f t="shared" si="1"/>
        <v>0</v>
      </c>
      <c r="H17" s="413">
        <f t="shared" si="2"/>
        <v>307100</v>
      </c>
      <c r="I17" s="448"/>
    </row>
    <row r="18" spans="1:9" s="330" customFormat="1" ht="12.75" customHeight="1" x14ac:dyDescent="0.25">
      <c r="A18" s="408"/>
      <c r="B18" s="409"/>
      <c r="C18" s="410"/>
      <c r="D18" s="494"/>
      <c r="E18" s="412">
        <f t="shared" si="0"/>
        <v>307100</v>
      </c>
      <c r="F18" s="422"/>
      <c r="G18" s="413">
        <f t="shared" si="1"/>
        <v>0</v>
      </c>
      <c r="H18" s="413">
        <f t="shared" si="2"/>
        <v>307100</v>
      </c>
      <c r="I18" s="414"/>
    </row>
    <row r="19" spans="1:9" s="330" customFormat="1" ht="12.75" customHeight="1" x14ac:dyDescent="0.25">
      <c r="A19" s="408"/>
      <c r="B19" s="409"/>
      <c r="C19" s="410"/>
      <c r="D19" s="412"/>
      <c r="E19" s="412">
        <f t="shared" si="0"/>
        <v>307100</v>
      </c>
      <c r="F19" s="445"/>
      <c r="G19" s="413">
        <f t="shared" si="1"/>
        <v>0</v>
      </c>
      <c r="H19" s="413">
        <f t="shared" si="2"/>
        <v>307100</v>
      </c>
      <c r="I19" s="414"/>
    </row>
    <row r="20" spans="1:9" s="330" customFormat="1" ht="12.75" customHeight="1" x14ac:dyDescent="0.25">
      <c r="A20" s="408"/>
      <c r="B20" s="409"/>
      <c r="C20" s="410"/>
      <c r="D20" s="412"/>
      <c r="E20" s="412">
        <f t="shared" si="0"/>
        <v>307100</v>
      </c>
      <c r="F20" s="445"/>
      <c r="G20" s="413">
        <f t="shared" si="1"/>
        <v>0</v>
      </c>
      <c r="H20" s="413">
        <f t="shared" si="2"/>
        <v>307100</v>
      </c>
      <c r="I20" s="414"/>
    </row>
    <row r="21" spans="1:9" s="330" customFormat="1" ht="12.75" customHeight="1" x14ac:dyDescent="0.25">
      <c r="A21" s="408"/>
      <c r="B21" s="409"/>
      <c r="C21" s="410"/>
      <c r="D21" s="411"/>
      <c r="E21" s="412">
        <f t="shared" si="0"/>
        <v>307100</v>
      </c>
      <c r="F21" s="445"/>
      <c r="G21" s="413">
        <f t="shared" si="1"/>
        <v>0</v>
      </c>
      <c r="H21" s="413">
        <f t="shared" si="2"/>
        <v>307100</v>
      </c>
      <c r="I21" s="414"/>
    </row>
    <row r="22" spans="1:9" s="330" customFormat="1" ht="12.75" customHeight="1" x14ac:dyDescent="0.25">
      <c r="A22" s="408"/>
      <c r="B22" s="409"/>
      <c r="C22" s="410"/>
      <c r="D22" s="412"/>
      <c r="E22" s="412">
        <f t="shared" si="0"/>
        <v>307100</v>
      </c>
      <c r="F22" s="445"/>
      <c r="G22" s="413">
        <f t="shared" si="1"/>
        <v>0</v>
      </c>
      <c r="H22" s="413">
        <f t="shared" si="2"/>
        <v>307100</v>
      </c>
      <c r="I22" s="414"/>
    </row>
    <row r="23" spans="1:9" s="330" customFormat="1" ht="12.75" customHeight="1" x14ac:dyDescent="0.25">
      <c r="A23" s="408"/>
      <c r="B23" s="409"/>
      <c r="C23" s="410"/>
      <c r="D23" s="412"/>
      <c r="E23" s="412">
        <f t="shared" si="0"/>
        <v>307100</v>
      </c>
      <c r="F23" s="445"/>
      <c r="G23" s="413">
        <f t="shared" si="1"/>
        <v>0</v>
      </c>
      <c r="H23" s="413">
        <f t="shared" si="2"/>
        <v>307100</v>
      </c>
      <c r="I23" s="414"/>
    </row>
    <row r="24" spans="1:9" s="330" customFormat="1" ht="12.75" customHeight="1" x14ac:dyDescent="0.25">
      <c r="A24" s="408"/>
      <c r="B24" s="409"/>
      <c r="C24" s="410"/>
      <c r="D24" s="412"/>
      <c r="E24" s="412">
        <f t="shared" si="0"/>
        <v>307100</v>
      </c>
      <c r="F24" s="445"/>
      <c r="G24" s="413">
        <f t="shared" si="1"/>
        <v>0</v>
      </c>
      <c r="H24" s="413">
        <f t="shared" si="2"/>
        <v>307100</v>
      </c>
      <c r="I24" s="414"/>
    </row>
    <row r="25" spans="1:9" s="330" customFormat="1" ht="12.75" customHeight="1" x14ac:dyDescent="0.25">
      <c r="A25" s="408"/>
      <c r="B25" s="409"/>
      <c r="C25" s="410"/>
      <c r="D25" s="412"/>
      <c r="E25" s="412">
        <f t="shared" si="0"/>
        <v>307100</v>
      </c>
      <c r="F25" s="445"/>
      <c r="G25" s="413">
        <f t="shared" si="1"/>
        <v>0</v>
      </c>
      <c r="H25" s="413">
        <f t="shared" si="2"/>
        <v>307100</v>
      </c>
      <c r="I25" s="414"/>
    </row>
    <row r="26" spans="1:9" s="330" customFormat="1" ht="12.75" customHeight="1" x14ac:dyDescent="0.25">
      <c r="A26" s="408"/>
      <c r="B26" s="409"/>
      <c r="C26" s="410"/>
      <c r="D26" s="412"/>
      <c r="E26" s="412">
        <f t="shared" si="0"/>
        <v>307100</v>
      </c>
      <c r="F26" s="422"/>
      <c r="G26" s="413">
        <f t="shared" si="1"/>
        <v>0</v>
      </c>
      <c r="H26" s="413">
        <f t="shared" si="2"/>
        <v>307100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307100</v>
      </c>
      <c r="E28" s="426"/>
      <c r="F28" s="426">
        <f>SUM(F9:F27)</f>
        <v>0</v>
      </c>
      <c r="G28" s="426"/>
      <c r="H28" s="426">
        <f>D28-F28</f>
        <v>307100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309C-C376-4C49-9FDA-DF5F00FDB290}">
  <sheetPr codeName="Sheet116">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1586</v>
      </c>
      <c r="B4" s="126"/>
      <c r="C4" s="127"/>
      <c r="D4" s="128" t="s">
        <v>1587</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1588</v>
      </c>
      <c r="B9" s="409">
        <v>46069</v>
      </c>
      <c r="C9" s="410" t="s">
        <v>107</v>
      </c>
      <c r="D9" s="411">
        <v>775000</v>
      </c>
      <c r="E9" s="412">
        <f>D9</f>
        <v>775000</v>
      </c>
      <c r="F9" s="413"/>
      <c r="G9" s="413"/>
      <c r="H9" s="413">
        <f>E9</f>
        <v>775000</v>
      </c>
      <c r="I9" s="414"/>
    </row>
    <row r="10" spans="1:9" s="330" customFormat="1" ht="12.75" customHeight="1" x14ac:dyDescent="0.25">
      <c r="A10" s="408"/>
      <c r="B10" s="240"/>
      <c r="C10" s="410"/>
      <c r="D10" s="412"/>
      <c r="E10" s="412">
        <f t="shared" ref="E10:E26" si="0">E9+D10</f>
        <v>775000</v>
      </c>
      <c r="F10" s="445"/>
      <c r="G10" s="413">
        <f t="shared" ref="G10:G26" si="1">G9+F10</f>
        <v>0</v>
      </c>
      <c r="H10" s="413">
        <f t="shared" ref="H10:H26" si="2">H9-F10+D10</f>
        <v>775000</v>
      </c>
      <c r="I10" s="414"/>
    </row>
    <row r="11" spans="1:9" s="330" customFormat="1" ht="12.75" customHeight="1" x14ac:dyDescent="0.25">
      <c r="A11" s="408"/>
      <c r="B11" s="409"/>
      <c r="C11" s="410"/>
      <c r="D11" s="412"/>
      <c r="E11" s="412">
        <f t="shared" si="0"/>
        <v>775000</v>
      </c>
      <c r="F11" s="445"/>
      <c r="G11" s="413">
        <f t="shared" si="1"/>
        <v>0</v>
      </c>
      <c r="H11" s="413">
        <f t="shared" si="2"/>
        <v>775000</v>
      </c>
      <c r="I11" s="414"/>
    </row>
    <row r="12" spans="1:9" s="330" customFormat="1" ht="12.75" customHeight="1" x14ac:dyDescent="0.25">
      <c r="A12" s="408"/>
      <c r="B12" s="409"/>
      <c r="C12" s="410"/>
      <c r="D12" s="412"/>
      <c r="E12" s="412">
        <f t="shared" si="0"/>
        <v>775000</v>
      </c>
      <c r="F12" s="445"/>
      <c r="G12" s="413">
        <f t="shared" si="1"/>
        <v>0</v>
      </c>
      <c r="H12" s="413">
        <f t="shared" si="2"/>
        <v>775000</v>
      </c>
      <c r="I12" s="414"/>
    </row>
    <row r="13" spans="1:9" s="330" customFormat="1" ht="12.75" customHeight="1" x14ac:dyDescent="0.25">
      <c r="A13" s="408"/>
      <c r="B13" s="409"/>
      <c r="C13" s="410"/>
      <c r="D13" s="412"/>
      <c r="E13" s="412">
        <f t="shared" si="0"/>
        <v>775000</v>
      </c>
      <c r="F13" s="445"/>
      <c r="G13" s="413">
        <f t="shared" si="1"/>
        <v>0</v>
      </c>
      <c r="H13" s="413">
        <f t="shared" si="2"/>
        <v>775000</v>
      </c>
      <c r="I13" s="414"/>
    </row>
    <row r="14" spans="1:9" s="330" customFormat="1" ht="12.75" customHeight="1" x14ac:dyDescent="0.25">
      <c r="A14" s="408"/>
      <c r="B14" s="409"/>
      <c r="C14" s="410"/>
      <c r="D14" s="411"/>
      <c r="E14" s="412">
        <f t="shared" si="0"/>
        <v>775000</v>
      </c>
      <c r="F14" s="413"/>
      <c r="G14" s="413">
        <f t="shared" si="1"/>
        <v>0</v>
      </c>
      <c r="H14" s="413">
        <f t="shared" si="2"/>
        <v>775000</v>
      </c>
      <c r="I14" s="414"/>
    </row>
    <row r="15" spans="1:9" s="330" customFormat="1" ht="12.75" customHeight="1" x14ac:dyDescent="0.25">
      <c r="A15" s="408"/>
      <c r="B15" s="409"/>
      <c r="C15" s="410"/>
      <c r="D15" s="412"/>
      <c r="E15" s="412">
        <f t="shared" si="0"/>
        <v>775000</v>
      </c>
      <c r="F15" s="445"/>
      <c r="G15" s="413">
        <f t="shared" si="1"/>
        <v>0</v>
      </c>
      <c r="H15" s="413">
        <f t="shared" si="2"/>
        <v>775000</v>
      </c>
      <c r="I15" s="414"/>
    </row>
    <row r="16" spans="1:9" s="330" customFormat="1" ht="12.75" customHeight="1" x14ac:dyDescent="0.25">
      <c r="A16" s="408"/>
      <c r="B16" s="409"/>
      <c r="C16" s="410"/>
      <c r="D16" s="412"/>
      <c r="E16" s="412">
        <f t="shared" si="0"/>
        <v>775000</v>
      </c>
      <c r="F16" s="445"/>
      <c r="G16" s="413">
        <f t="shared" si="1"/>
        <v>0</v>
      </c>
      <c r="H16" s="413">
        <f t="shared" si="2"/>
        <v>775000</v>
      </c>
      <c r="I16" s="414"/>
    </row>
    <row r="17" spans="1:9" s="330" customFormat="1" ht="12.75" customHeight="1" x14ac:dyDescent="0.25">
      <c r="A17" s="408"/>
      <c r="B17" s="409"/>
      <c r="C17" s="410"/>
      <c r="D17" s="412"/>
      <c r="E17" s="412">
        <f t="shared" si="0"/>
        <v>775000</v>
      </c>
      <c r="F17" s="445"/>
      <c r="G17" s="413">
        <f t="shared" si="1"/>
        <v>0</v>
      </c>
      <c r="H17" s="413">
        <f t="shared" si="2"/>
        <v>775000</v>
      </c>
      <c r="I17" s="448"/>
    </row>
    <row r="18" spans="1:9" s="330" customFormat="1" ht="12.75" customHeight="1" x14ac:dyDescent="0.25">
      <c r="A18" s="408"/>
      <c r="B18" s="409"/>
      <c r="C18" s="410"/>
      <c r="D18" s="494"/>
      <c r="E18" s="412">
        <f t="shared" si="0"/>
        <v>775000</v>
      </c>
      <c r="F18" s="422"/>
      <c r="G18" s="413">
        <f t="shared" si="1"/>
        <v>0</v>
      </c>
      <c r="H18" s="413">
        <f t="shared" si="2"/>
        <v>775000</v>
      </c>
      <c r="I18" s="414"/>
    </row>
    <row r="19" spans="1:9" s="330" customFormat="1" ht="12.75" customHeight="1" x14ac:dyDescent="0.25">
      <c r="A19" s="408"/>
      <c r="B19" s="409"/>
      <c r="C19" s="410"/>
      <c r="D19" s="412"/>
      <c r="E19" s="412">
        <f t="shared" si="0"/>
        <v>775000</v>
      </c>
      <c r="F19" s="445"/>
      <c r="G19" s="413">
        <f t="shared" si="1"/>
        <v>0</v>
      </c>
      <c r="H19" s="413">
        <f t="shared" si="2"/>
        <v>775000</v>
      </c>
      <c r="I19" s="414"/>
    </row>
    <row r="20" spans="1:9" s="330" customFormat="1" ht="12.75" customHeight="1" x14ac:dyDescent="0.25">
      <c r="A20" s="408"/>
      <c r="B20" s="409"/>
      <c r="C20" s="410"/>
      <c r="D20" s="412"/>
      <c r="E20" s="412">
        <f t="shared" si="0"/>
        <v>775000</v>
      </c>
      <c r="F20" s="445"/>
      <c r="G20" s="413">
        <f t="shared" si="1"/>
        <v>0</v>
      </c>
      <c r="H20" s="413">
        <f t="shared" si="2"/>
        <v>775000</v>
      </c>
      <c r="I20" s="414"/>
    </row>
    <row r="21" spans="1:9" s="330" customFormat="1" ht="12.75" customHeight="1" x14ac:dyDescent="0.25">
      <c r="A21" s="408"/>
      <c r="B21" s="409"/>
      <c r="C21" s="410"/>
      <c r="D21" s="411"/>
      <c r="E21" s="412">
        <f t="shared" si="0"/>
        <v>775000</v>
      </c>
      <c r="F21" s="445"/>
      <c r="G21" s="413">
        <f t="shared" si="1"/>
        <v>0</v>
      </c>
      <c r="H21" s="413">
        <f t="shared" si="2"/>
        <v>775000</v>
      </c>
      <c r="I21" s="414"/>
    </row>
    <row r="22" spans="1:9" s="330" customFormat="1" ht="12.75" customHeight="1" x14ac:dyDescent="0.25">
      <c r="A22" s="408"/>
      <c r="B22" s="409"/>
      <c r="C22" s="410"/>
      <c r="D22" s="412"/>
      <c r="E22" s="412">
        <f t="shared" si="0"/>
        <v>775000</v>
      </c>
      <c r="F22" s="445"/>
      <c r="G22" s="413">
        <f t="shared" si="1"/>
        <v>0</v>
      </c>
      <c r="H22" s="413">
        <f t="shared" si="2"/>
        <v>775000</v>
      </c>
      <c r="I22" s="414"/>
    </row>
    <row r="23" spans="1:9" s="330" customFormat="1" ht="12.75" customHeight="1" x14ac:dyDescent="0.25">
      <c r="A23" s="408"/>
      <c r="B23" s="409"/>
      <c r="C23" s="410"/>
      <c r="D23" s="412"/>
      <c r="E23" s="412">
        <f t="shared" si="0"/>
        <v>775000</v>
      </c>
      <c r="F23" s="445"/>
      <c r="G23" s="413">
        <f t="shared" si="1"/>
        <v>0</v>
      </c>
      <c r="H23" s="413">
        <f t="shared" si="2"/>
        <v>775000</v>
      </c>
      <c r="I23" s="414"/>
    </row>
    <row r="24" spans="1:9" s="330" customFormat="1" ht="12.75" customHeight="1" x14ac:dyDescent="0.25">
      <c r="A24" s="408"/>
      <c r="B24" s="409"/>
      <c r="C24" s="410"/>
      <c r="D24" s="412"/>
      <c r="E24" s="412">
        <f t="shared" si="0"/>
        <v>775000</v>
      </c>
      <c r="F24" s="445"/>
      <c r="G24" s="413">
        <f t="shared" si="1"/>
        <v>0</v>
      </c>
      <c r="H24" s="413">
        <f t="shared" si="2"/>
        <v>775000</v>
      </c>
      <c r="I24" s="414"/>
    </row>
    <row r="25" spans="1:9" s="330" customFormat="1" ht="12.75" customHeight="1" x14ac:dyDescent="0.25">
      <c r="A25" s="408"/>
      <c r="B25" s="409"/>
      <c r="C25" s="410"/>
      <c r="D25" s="412"/>
      <c r="E25" s="412">
        <f t="shared" si="0"/>
        <v>775000</v>
      </c>
      <c r="F25" s="445"/>
      <c r="G25" s="413">
        <f t="shared" si="1"/>
        <v>0</v>
      </c>
      <c r="H25" s="413">
        <f t="shared" si="2"/>
        <v>775000</v>
      </c>
      <c r="I25" s="414"/>
    </row>
    <row r="26" spans="1:9" s="330" customFormat="1" ht="12.75" customHeight="1" x14ac:dyDescent="0.25">
      <c r="A26" s="408"/>
      <c r="B26" s="409"/>
      <c r="C26" s="410"/>
      <c r="D26" s="412"/>
      <c r="E26" s="412">
        <f t="shared" si="0"/>
        <v>775000</v>
      </c>
      <c r="F26" s="422"/>
      <c r="G26" s="413">
        <f t="shared" si="1"/>
        <v>0</v>
      </c>
      <c r="H26" s="413">
        <f t="shared" si="2"/>
        <v>775000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775000</v>
      </c>
      <c r="E28" s="426"/>
      <c r="F28" s="426">
        <f>SUM(F9:F27)</f>
        <v>0</v>
      </c>
      <c r="G28" s="426"/>
      <c r="H28" s="426">
        <f>D28-F28</f>
        <v>775000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4E2C-FBF5-421E-B58A-FE548C4B61CA}">
  <sheetPr codeName="Sheet117">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817</v>
      </c>
      <c r="B4" s="126"/>
      <c r="C4" s="127"/>
      <c r="D4" s="128" t="s">
        <v>276</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1589</v>
      </c>
      <c r="B9" s="409">
        <v>46069</v>
      </c>
      <c r="C9" s="410" t="s">
        <v>107</v>
      </c>
      <c r="D9" s="411">
        <v>2683098</v>
      </c>
      <c r="E9" s="412">
        <f>D9</f>
        <v>2683098</v>
      </c>
      <c r="F9" s="413"/>
      <c r="G9" s="413"/>
      <c r="H9" s="413">
        <f>E9</f>
        <v>2683098</v>
      </c>
      <c r="I9" s="414"/>
    </row>
    <row r="10" spans="1:9" s="330" customFormat="1" ht="12.75" customHeight="1" x14ac:dyDescent="0.25">
      <c r="A10" s="408" t="s">
        <v>1589</v>
      </c>
      <c r="B10" s="240">
        <v>46129</v>
      </c>
      <c r="C10" s="410" t="s">
        <v>301</v>
      </c>
      <c r="D10" s="411">
        <v>1758.67</v>
      </c>
      <c r="E10" s="412">
        <f t="shared" ref="E10:E26" si="0">E9+D10</f>
        <v>2684856.67</v>
      </c>
      <c r="F10" s="445"/>
      <c r="G10" s="413">
        <f t="shared" ref="G10:G26" si="1">G9+F10</f>
        <v>0</v>
      </c>
      <c r="H10" s="413">
        <f t="shared" ref="H10:H26" si="2">H9-F10+D10</f>
        <v>2684856.67</v>
      </c>
      <c r="I10" s="414"/>
    </row>
    <row r="11" spans="1:9" s="330" customFormat="1" ht="12.75" customHeight="1" x14ac:dyDescent="0.25">
      <c r="A11" s="408"/>
      <c r="B11" s="409"/>
      <c r="C11" s="410"/>
      <c r="D11" s="412"/>
      <c r="E11" s="412">
        <f t="shared" si="0"/>
        <v>2684856.67</v>
      </c>
      <c r="F11" s="445"/>
      <c r="G11" s="413">
        <f t="shared" si="1"/>
        <v>0</v>
      </c>
      <c r="H11" s="413">
        <f t="shared" si="2"/>
        <v>2684856.67</v>
      </c>
      <c r="I11" s="414"/>
    </row>
    <row r="12" spans="1:9" s="330" customFormat="1" ht="12.75" customHeight="1" x14ac:dyDescent="0.25">
      <c r="A12" s="408"/>
      <c r="B12" s="409"/>
      <c r="C12" s="410"/>
      <c r="D12" s="412"/>
      <c r="E12" s="412">
        <f t="shared" si="0"/>
        <v>2684856.67</v>
      </c>
      <c r="F12" s="445"/>
      <c r="G12" s="413">
        <f t="shared" si="1"/>
        <v>0</v>
      </c>
      <c r="H12" s="413">
        <f t="shared" si="2"/>
        <v>2684856.67</v>
      </c>
      <c r="I12" s="414"/>
    </row>
    <row r="13" spans="1:9" s="330" customFormat="1" ht="12.75" customHeight="1" x14ac:dyDescent="0.25">
      <c r="A13" s="408"/>
      <c r="B13" s="409"/>
      <c r="C13" s="410"/>
      <c r="D13" s="412"/>
      <c r="E13" s="412">
        <f t="shared" si="0"/>
        <v>2684856.67</v>
      </c>
      <c r="F13" s="445"/>
      <c r="G13" s="413">
        <f t="shared" si="1"/>
        <v>0</v>
      </c>
      <c r="H13" s="413">
        <f t="shared" si="2"/>
        <v>2684856.67</v>
      </c>
      <c r="I13" s="414"/>
    </row>
    <row r="14" spans="1:9" s="330" customFormat="1" ht="12.75" customHeight="1" x14ac:dyDescent="0.25">
      <c r="A14" s="408"/>
      <c r="B14" s="409"/>
      <c r="C14" s="410"/>
      <c r="D14" s="411"/>
      <c r="E14" s="412">
        <f t="shared" si="0"/>
        <v>2684856.67</v>
      </c>
      <c r="F14" s="413"/>
      <c r="G14" s="413">
        <f t="shared" si="1"/>
        <v>0</v>
      </c>
      <c r="H14" s="413">
        <f t="shared" si="2"/>
        <v>2684856.67</v>
      </c>
      <c r="I14" s="414"/>
    </row>
    <row r="15" spans="1:9" s="330" customFormat="1" ht="12.75" customHeight="1" x14ac:dyDescent="0.25">
      <c r="A15" s="408"/>
      <c r="B15" s="409"/>
      <c r="C15" s="410"/>
      <c r="D15" s="412"/>
      <c r="E15" s="412">
        <f t="shared" si="0"/>
        <v>2684856.67</v>
      </c>
      <c r="F15" s="445"/>
      <c r="G15" s="413">
        <f t="shared" si="1"/>
        <v>0</v>
      </c>
      <c r="H15" s="413">
        <f t="shared" si="2"/>
        <v>2684856.67</v>
      </c>
      <c r="I15" s="414"/>
    </row>
    <row r="16" spans="1:9" s="330" customFormat="1" ht="12.75" customHeight="1" x14ac:dyDescent="0.25">
      <c r="A16" s="408"/>
      <c r="B16" s="409"/>
      <c r="C16" s="410"/>
      <c r="D16" s="412"/>
      <c r="E16" s="412">
        <f t="shared" si="0"/>
        <v>2684856.67</v>
      </c>
      <c r="F16" s="445"/>
      <c r="G16" s="413">
        <f t="shared" si="1"/>
        <v>0</v>
      </c>
      <c r="H16" s="413">
        <f t="shared" si="2"/>
        <v>2684856.67</v>
      </c>
      <c r="I16" s="414"/>
    </row>
    <row r="17" spans="1:9" s="330" customFormat="1" ht="12.75" customHeight="1" x14ac:dyDescent="0.25">
      <c r="A17" s="408"/>
      <c r="B17" s="409"/>
      <c r="C17" s="410"/>
      <c r="D17" s="412"/>
      <c r="E17" s="412">
        <f t="shared" si="0"/>
        <v>2684856.67</v>
      </c>
      <c r="F17" s="445"/>
      <c r="G17" s="413">
        <f t="shared" si="1"/>
        <v>0</v>
      </c>
      <c r="H17" s="413">
        <f t="shared" si="2"/>
        <v>2684856.67</v>
      </c>
      <c r="I17" s="448"/>
    </row>
    <row r="18" spans="1:9" s="330" customFormat="1" ht="12.75" customHeight="1" x14ac:dyDescent="0.25">
      <c r="A18" s="408"/>
      <c r="B18" s="409"/>
      <c r="C18" s="410"/>
      <c r="D18" s="494"/>
      <c r="E18" s="412">
        <f t="shared" si="0"/>
        <v>2684856.67</v>
      </c>
      <c r="F18" s="422"/>
      <c r="G18" s="413">
        <f t="shared" si="1"/>
        <v>0</v>
      </c>
      <c r="H18" s="413">
        <f t="shared" si="2"/>
        <v>2684856.67</v>
      </c>
      <c r="I18" s="414"/>
    </row>
    <row r="19" spans="1:9" s="330" customFormat="1" ht="12.75" customHeight="1" x14ac:dyDescent="0.25">
      <c r="A19" s="408"/>
      <c r="B19" s="409"/>
      <c r="C19" s="410"/>
      <c r="D19" s="412"/>
      <c r="E19" s="412">
        <f t="shared" si="0"/>
        <v>2684856.67</v>
      </c>
      <c r="F19" s="445"/>
      <c r="G19" s="413">
        <f t="shared" si="1"/>
        <v>0</v>
      </c>
      <c r="H19" s="413">
        <f t="shared" si="2"/>
        <v>2684856.67</v>
      </c>
      <c r="I19" s="414"/>
    </row>
    <row r="20" spans="1:9" s="330" customFormat="1" ht="12.75" customHeight="1" x14ac:dyDescent="0.25">
      <c r="A20" s="408"/>
      <c r="B20" s="409"/>
      <c r="C20" s="410"/>
      <c r="D20" s="412"/>
      <c r="E20" s="412">
        <f t="shared" si="0"/>
        <v>2684856.67</v>
      </c>
      <c r="F20" s="445"/>
      <c r="G20" s="413">
        <f t="shared" si="1"/>
        <v>0</v>
      </c>
      <c r="H20" s="413">
        <f t="shared" si="2"/>
        <v>2684856.67</v>
      </c>
      <c r="I20" s="414"/>
    </row>
    <row r="21" spans="1:9" s="330" customFormat="1" ht="12.75" customHeight="1" x14ac:dyDescent="0.25">
      <c r="A21" s="408"/>
      <c r="B21" s="409"/>
      <c r="C21" s="410"/>
      <c r="D21" s="411"/>
      <c r="E21" s="412">
        <f t="shared" si="0"/>
        <v>2684856.67</v>
      </c>
      <c r="F21" s="445"/>
      <c r="G21" s="413">
        <f t="shared" si="1"/>
        <v>0</v>
      </c>
      <c r="H21" s="413">
        <f t="shared" si="2"/>
        <v>2684856.67</v>
      </c>
      <c r="I21" s="414"/>
    </row>
    <row r="22" spans="1:9" s="330" customFormat="1" ht="12.75" customHeight="1" x14ac:dyDescent="0.25">
      <c r="A22" s="408"/>
      <c r="B22" s="409"/>
      <c r="C22" s="410"/>
      <c r="D22" s="412"/>
      <c r="E22" s="412">
        <f t="shared" si="0"/>
        <v>2684856.67</v>
      </c>
      <c r="F22" s="445"/>
      <c r="G22" s="413">
        <f t="shared" si="1"/>
        <v>0</v>
      </c>
      <c r="H22" s="413">
        <f t="shared" si="2"/>
        <v>2684856.67</v>
      </c>
      <c r="I22" s="414"/>
    </row>
    <row r="23" spans="1:9" s="330" customFormat="1" ht="12.75" customHeight="1" x14ac:dyDescent="0.25">
      <c r="A23" s="408"/>
      <c r="B23" s="409"/>
      <c r="C23" s="410"/>
      <c r="D23" s="412"/>
      <c r="E23" s="412">
        <f t="shared" si="0"/>
        <v>2684856.67</v>
      </c>
      <c r="F23" s="445"/>
      <c r="G23" s="413">
        <f t="shared" si="1"/>
        <v>0</v>
      </c>
      <c r="H23" s="413">
        <f t="shared" si="2"/>
        <v>2684856.67</v>
      </c>
      <c r="I23" s="414"/>
    </row>
    <row r="24" spans="1:9" s="330" customFormat="1" ht="12.75" customHeight="1" x14ac:dyDescent="0.25">
      <c r="A24" s="408"/>
      <c r="B24" s="409"/>
      <c r="C24" s="410"/>
      <c r="D24" s="412"/>
      <c r="E24" s="412">
        <f t="shared" si="0"/>
        <v>2684856.67</v>
      </c>
      <c r="F24" s="445"/>
      <c r="G24" s="413">
        <f t="shared" si="1"/>
        <v>0</v>
      </c>
      <c r="H24" s="413">
        <f t="shared" si="2"/>
        <v>2684856.67</v>
      </c>
      <c r="I24" s="414"/>
    </row>
    <row r="25" spans="1:9" s="330" customFormat="1" ht="12.75" customHeight="1" x14ac:dyDescent="0.25">
      <c r="A25" s="408"/>
      <c r="B25" s="409"/>
      <c r="C25" s="410"/>
      <c r="D25" s="412"/>
      <c r="E25" s="412">
        <f t="shared" si="0"/>
        <v>2684856.67</v>
      </c>
      <c r="F25" s="445"/>
      <c r="G25" s="413">
        <f t="shared" si="1"/>
        <v>0</v>
      </c>
      <c r="H25" s="413">
        <f t="shared" si="2"/>
        <v>2684856.67</v>
      </c>
      <c r="I25" s="414"/>
    </row>
    <row r="26" spans="1:9" s="330" customFormat="1" ht="12.75" customHeight="1" x14ac:dyDescent="0.25">
      <c r="A26" s="408"/>
      <c r="B26" s="409"/>
      <c r="C26" s="410"/>
      <c r="D26" s="412"/>
      <c r="E26" s="412">
        <f t="shared" si="0"/>
        <v>2684856.67</v>
      </c>
      <c r="F26" s="422"/>
      <c r="G26" s="413">
        <f t="shared" si="1"/>
        <v>0</v>
      </c>
      <c r="H26" s="413">
        <f t="shared" si="2"/>
        <v>2684856.67</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2684856.67</v>
      </c>
      <c r="E28" s="426"/>
      <c r="F28" s="426">
        <f>SUM(F9:F27)</f>
        <v>0</v>
      </c>
      <c r="G28" s="426"/>
      <c r="H28" s="426">
        <f>D28-F28</f>
        <v>2684856.67</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E893-6F28-42D1-918F-03913CF0FB31}">
  <sheetPr codeName="Sheet118">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9" width="15.285156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1590</v>
      </c>
      <c r="B4" s="126"/>
      <c r="C4" s="127"/>
      <c r="D4" s="128" t="s">
        <v>1591</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1592</v>
      </c>
      <c r="B9" s="409">
        <v>46069</v>
      </c>
      <c r="C9" s="410" t="s">
        <v>107</v>
      </c>
      <c r="D9" s="411">
        <v>606723</v>
      </c>
      <c r="E9" s="412">
        <f>D9</f>
        <v>606723</v>
      </c>
      <c r="F9" s="413"/>
      <c r="G9" s="413"/>
      <c r="H9" s="413">
        <f>E9</f>
        <v>606723</v>
      </c>
      <c r="I9" s="414"/>
    </row>
    <row r="10" spans="1:9" s="330" customFormat="1" ht="12.75" customHeight="1" x14ac:dyDescent="0.25">
      <c r="A10" s="408" t="s">
        <v>1783</v>
      </c>
      <c r="B10" s="240">
        <v>46132</v>
      </c>
      <c r="C10" s="410" t="s">
        <v>1784</v>
      </c>
      <c r="D10" s="412"/>
      <c r="E10" s="412">
        <f t="shared" ref="E10:E26" si="0">E9+D10</f>
        <v>606723</v>
      </c>
      <c r="F10" s="445">
        <v>64023.88</v>
      </c>
      <c r="G10" s="413">
        <f t="shared" ref="G10:G26" si="1">G9+F10</f>
        <v>64023.88</v>
      </c>
      <c r="H10" s="413">
        <f t="shared" ref="H10:H26" si="2">H9-F10+D10</f>
        <v>542699.12</v>
      </c>
      <c r="I10" s="482">
        <v>1980.12</v>
      </c>
    </row>
    <row r="11" spans="1:9" s="330" customFormat="1" ht="12.75" customHeight="1" x14ac:dyDescent="0.25">
      <c r="A11" s="408"/>
      <c r="B11" s="409"/>
      <c r="C11" s="410"/>
      <c r="D11" s="412"/>
      <c r="E11" s="412">
        <f t="shared" si="0"/>
        <v>606723</v>
      </c>
      <c r="F11" s="445"/>
      <c r="G11" s="413">
        <f t="shared" si="1"/>
        <v>64023.88</v>
      </c>
      <c r="H11" s="413">
        <f t="shared" si="2"/>
        <v>542699.12</v>
      </c>
      <c r="I11" s="444"/>
    </row>
    <row r="12" spans="1:9" s="330" customFormat="1" ht="12.75" customHeight="1" x14ac:dyDescent="0.25">
      <c r="A12" s="408"/>
      <c r="B12" s="409"/>
      <c r="C12" s="410"/>
      <c r="D12" s="412"/>
      <c r="E12" s="412">
        <f t="shared" si="0"/>
        <v>606723</v>
      </c>
      <c r="F12" s="445"/>
      <c r="G12" s="413">
        <f t="shared" si="1"/>
        <v>64023.88</v>
      </c>
      <c r="H12" s="413">
        <f t="shared" si="2"/>
        <v>542699.12</v>
      </c>
      <c r="I12" s="444"/>
    </row>
    <row r="13" spans="1:9" s="330" customFormat="1" ht="12.75" customHeight="1" x14ac:dyDescent="0.25">
      <c r="A13" s="408"/>
      <c r="B13" s="409"/>
      <c r="C13" s="410"/>
      <c r="D13" s="412"/>
      <c r="E13" s="412">
        <f t="shared" si="0"/>
        <v>606723</v>
      </c>
      <c r="F13" s="445"/>
      <c r="G13" s="413">
        <f t="shared" si="1"/>
        <v>64023.88</v>
      </c>
      <c r="H13" s="413">
        <f t="shared" si="2"/>
        <v>542699.12</v>
      </c>
      <c r="I13" s="444"/>
    </row>
    <row r="14" spans="1:9" s="330" customFormat="1" ht="12.75" customHeight="1" x14ac:dyDescent="0.25">
      <c r="A14" s="408"/>
      <c r="B14" s="409"/>
      <c r="C14" s="410"/>
      <c r="D14" s="411"/>
      <c r="E14" s="412">
        <f t="shared" si="0"/>
        <v>606723</v>
      </c>
      <c r="F14" s="413"/>
      <c r="G14" s="413">
        <f t="shared" si="1"/>
        <v>64023.88</v>
      </c>
      <c r="H14" s="413">
        <f t="shared" si="2"/>
        <v>542699.12</v>
      </c>
      <c r="I14" s="444"/>
    </row>
    <row r="15" spans="1:9" s="330" customFormat="1" ht="12.75" customHeight="1" x14ac:dyDescent="0.25">
      <c r="A15" s="408"/>
      <c r="B15" s="409"/>
      <c r="C15" s="410"/>
      <c r="D15" s="412"/>
      <c r="E15" s="412">
        <f t="shared" si="0"/>
        <v>606723</v>
      </c>
      <c r="F15" s="445"/>
      <c r="G15" s="413">
        <f t="shared" si="1"/>
        <v>64023.88</v>
      </c>
      <c r="H15" s="413">
        <f t="shared" si="2"/>
        <v>542699.12</v>
      </c>
      <c r="I15" s="444"/>
    </row>
    <row r="16" spans="1:9" s="330" customFormat="1" ht="12.75" customHeight="1" x14ac:dyDescent="0.25">
      <c r="A16" s="408"/>
      <c r="B16" s="409"/>
      <c r="C16" s="410"/>
      <c r="D16" s="412"/>
      <c r="E16" s="412">
        <f t="shared" si="0"/>
        <v>606723</v>
      </c>
      <c r="F16" s="445"/>
      <c r="G16" s="413">
        <f t="shared" si="1"/>
        <v>64023.88</v>
      </c>
      <c r="H16" s="413">
        <f t="shared" si="2"/>
        <v>542699.12</v>
      </c>
      <c r="I16" s="444"/>
    </row>
    <row r="17" spans="1:9" s="330" customFormat="1" ht="12.75" customHeight="1" x14ac:dyDescent="0.25">
      <c r="A17" s="408"/>
      <c r="B17" s="409"/>
      <c r="C17" s="410"/>
      <c r="D17" s="412"/>
      <c r="E17" s="412">
        <f t="shared" si="0"/>
        <v>606723</v>
      </c>
      <c r="F17" s="445"/>
      <c r="G17" s="413">
        <f t="shared" si="1"/>
        <v>64023.88</v>
      </c>
      <c r="H17" s="413">
        <f t="shared" si="2"/>
        <v>542699.12</v>
      </c>
      <c r="I17" s="444"/>
    </row>
    <row r="18" spans="1:9" s="330" customFormat="1" ht="12.75" customHeight="1" x14ac:dyDescent="0.25">
      <c r="A18" s="408"/>
      <c r="B18" s="409"/>
      <c r="C18" s="410"/>
      <c r="D18" s="494"/>
      <c r="E18" s="412">
        <f t="shared" si="0"/>
        <v>606723</v>
      </c>
      <c r="F18" s="422"/>
      <c r="G18" s="413">
        <f t="shared" si="1"/>
        <v>64023.88</v>
      </c>
      <c r="H18" s="413">
        <f t="shared" si="2"/>
        <v>542699.12</v>
      </c>
      <c r="I18" s="444"/>
    </row>
    <row r="19" spans="1:9" s="330" customFormat="1" ht="12.75" customHeight="1" x14ac:dyDescent="0.25">
      <c r="A19" s="408"/>
      <c r="B19" s="409"/>
      <c r="C19" s="410"/>
      <c r="D19" s="412"/>
      <c r="E19" s="412">
        <f t="shared" si="0"/>
        <v>606723</v>
      </c>
      <c r="F19" s="445"/>
      <c r="G19" s="413">
        <f t="shared" si="1"/>
        <v>64023.88</v>
      </c>
      <c r="H19" s="413">
        <f t="shared" si="2"/>
        <v>542699.12</v>
      </c>
      <c r="I19" s="444"/>
    </row>
    <row r="20" spans="1:9" s="330" customFormat="1" ht="12.75" customHeight="1" x14ac:dyDescent="0.25">
      <c r="A20" s="408"/>
      <c r="B20" s="409"/>
      <c r="C20" s="410"/>
      <c r="D20" s="412"/>
      <c r="E20" s="412">
        <f t="shared" si="0"/>
        <v>606723</v>
      </c>
      <c r="F20" s="445"/>
      <c r="G20" s="413">
        <f t="shared" si="1"/>
        <v>64023.88</v>
      </c>
      <c r="H20" s="413">
        <f t="shared" si="2"/>
        <v>542699.12</v>
      </c>
      <c r="I20" s="444"/>
    </row>
    <row r="21" spans="1:9" s="330" customFormat="1" ht="12.75" customHeight="1" x14ac:dyDescent="0.25">
      <c r="A21" s="408"/>
      <c r="B21" s="409"/>
      <c r="C21" s="410"/>
      <c r="D21" s="411"/>
      <c r="E21" s="412">
        <f t="shared" si="0"/>
        <v>606723</v>
      </c>
      <c r="F21" s="445"/>
      <c r="G21" s="413">
        <f t="shared" si="1"/>
        <v>64023.88</v>
      </c>
      <c r="H21" s="413">
        <f t="shared" si="2"/>
        <v>542699.12</v>
      </c>
      <c r="I21" s="444"/>
    </row>
    <row r="22" spans="1:9" s="330" customFormat="1" ht="12.75" customHeight="1" x14ac:dyDescent="0.25">
      <c r="A22" s="408"/>
      <c r="B22" s="409"/>
      <c r="C22" s="410"/>
      <c r="D22" s="412"/>
      <c r="E22" s="412">
        <f t="shared" si="0"/>
        <v>606723</v>
      </c>
      <c r="F22" s="445"/>
      <c r="G22" s="413">
        <f t="shared" si="1"/>
        <v>64023.88</v>
      </c>
      <c r="H22" s="413">
        <f t="shared" si="2"/>
        <v>542699.12</v>
      </c>
      <c r="I22" s="444"/>
    </row>
    <row r="23" spans="1:9" s="330" customFormat="1" ht="12.75" customHeight="1" x14ac:dyDescent="0.25">
      <c r="A23" s="408"/>
      <c r="B23" s="409"/>
      <c r="C23" s="410"/>
      <c r="D23" s="412"/>
      <c r="E23" s="412">
        <f t="shared" si="0"/>
        <v>606723</v>
      </c>
      <c r="F23" s="445"/>
      <c r="G23" s="413">
        <f t="shared" si="1"/>
        <v>64023.88</v>
      </c>
      <c r="H23" s="413">
        <f t="shared" si="2"/>
        <v>542699.12</v>
      </c>
      <c r="I23" s="444"/>
    </row>
    <row r="24" spans="1:9" s="330" customFormat="1" ht="12.75" customHeight="1" x14ac:dyDescent="0.25">
      <c r="A24" s="408"/>
      <c r="B24" s="409"/>
      <c r="C24" s="410"/>
      <c r="D24" s="412"/>
      <c r="E24" s="412">
        <f t="shared" si="0"/>
        <v>606723</v>
      </c>
      <c r="F24" s="445"/>
      <c r="G24" s="413">
        <f t="shared" si="1"/>
        <v>64023.88</v>
      </c>
      <c r="H24" s="413">
        <f t="shared" si="2"/>
        <v>542699.12</v>
      </c>
      <c r="I24" s="444"/>
    </row>
    <row r="25" spans="1:9" s="330" customFormat="1" ht="12.75" customHeight="1" x14ac:dyDescent="0.25">
      <c r="A25" s="408"/>
      <c r="B25" s="409"/>
      <c r="C25" s="410"/>
      <c r="D25" s="412"/>
      <c r="E25" s="412">
        <f t="shared" si="0"/>
        <v>606723</v>
      </c>
      <c r="F25" s="445"/>
      <c r="G25" s="413">
        <f t="shared" si="1"/>
        <v>64023.88</v>
      </c>
      <c r="H25" s="413">
        <f t="shared" si="2"/>
        <v>542699.12</v>
      </c>
      <c r="I25" s="444"/>
    </row>
    <row r="26" spans="1:9" s="330" customFormat="1" ht="12.75" customHeight="1" x14ac:dyDescent="0.25">
      <c r="A26" s="408"/>
      <c r="B26" s="409"/>
      <c r="C26" s="410"/>
      <c r="D26" s="412"/>
      <c r="E26" s="412">
        <f t="shared" si="0"/>
        <v>606723</v>
      </c>
      <c r="F26" s="422"/>
      <c r="G26" s="413">
        <f t="shared" si="1"/>
        <v>64023.88</v>
      </c>
      <c r="H26" s="413">
        <f t="shared" si="2"/>
        <v>542699.12</v>
      </c>
      <c r="I26" s="44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606723</v>
      </c>
      <c r="E28" s="426"/>
      <c r="F28" s="426">
        <f>SUM(F9:F27)</f>
        <v>64023.88</v>
      </c>
      <c r="G28" s="426"/>
      <c r="H28" s="426">
        <f>D28-F28</f>
        <v>542699.12</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B2B5-C794-46AD-A84C-0C3D9E1F9EB7}">
  <sheetPr codeName="Sheet12">
    <pageSetUpPr fitToPage="1"/>
  </sheetPr>
  <dimension ref="A1:K3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85546875"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1249</v>
      </c>
      <c r="B4" s="126"/>
      <c r="C4" s="127"/>
      <c r="D4" s="128" t="s">
        <v>1250</v>
      </c>
      <c r="E4" s="124"/>
      <c r="F4" s="124"/>
      <c r="G4" s="124"/>
      <c r="H4" s="125"/>
      <c r="I4" s="125"/>
    </row>
    <row r="5" spans="1:9" ht="15.75" x14ac:dyDescent="0.25">
      <c r="A5" s="129" t="s">
        <v>109</v>
      </c>
      <c r="B5" s="130"/>
      <c r="C5" s="131"/>
      <c r="D5" s="132" t="s">
        <v>1251</v>
      </c>
      <c r="E5" s="133"/>
      <c r="F5" s="134"/>
      <c r="G5" s="134"/>
      <c r="H5" s="130"/>
      <c r="I5" s="125"/>
    </row>
    <row r="6" spans="1:9" ht="15.75" x14ac:dyDescent="0.25">
      <c r="A6" s="86" t="str">
        <f>'RECAP #9239.02'!B6</f>
        <v>Project Manager - Brad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1252</v>
      </c>
      <c r="B9" s="409">
        <v>45943</v>
      </c>
      <c r="C9" s="410" t="s">
        <v>107</v>
      </c>
      <c r="D9" s="411">
        <v>741490</v>
      </c>
      <c r="E9" s="412">
        <f>D9</f>
        <v>741490</v>
      </c>
      <c r="F9" s="413"/>
      <c r="G9" s="413"/>
      <c r="H9" s="413">
        <f>E9</f>
        <v>741490</v>
      </c>
      <c r="I9" s="444"/>
    </row>
    <row r="10" spans="1:9" s="330" customFormat="1" ht="12.75" customHeight="1" x14ac:dyDescent="0.25">
      <c r="A10" s="408" t="s">
        <v>1252</v>
      </c>
      <c r="B10" s="240">
        <v>45954</v>
      </c>
      <c r="C10" s="410" t="s">
        <v>1289</v>
      </c>
      <c r="D10" s="447">
        <v>-238195</v>
      </c>
      <c r="E10" s="412">
        <f t="shared" ref="E10:E21" si="0">E9+D10</f>
        <v>503295</v>
      </c>
      <c r="F10" s="445"/>
      <c r="G10" s="413">
        <f t="shared" ref="G10:G21" si="1">G9+F10</f>
        <v>0</v>
      </c>
      <c r="H10" s="413">
        <f t="shared" ref="H10:H21" si="2">H9-F10+D10</f>
        <v>503295</v>
      </c>
      <c r="I10" s="446"/>
    </row>
    <row r="11" spans="1:9" s="330" customFormat="1" ht="12.75" customHeight="1" x14ac:dyDescent="0.25">
      <c r="A11" s="408" t="s">
        <v>1252</v>
      </c>
      <c r="B11" s="409">
        <v>45975</v>
      </c>
      <c r="C11" s="410" t="s">
        <v>1343</v>
      </c>
      <c r="D11" s="411">
        <v>13324.19</v>
      </c>
      <c r="E11" s="412">
        <f t="shared" si="0"/>
        <v>516619.19</v>
      </c>
      <c r="F11" s="422"/>
      <c r="G11" s="413">
        <f t="shared" si="1"/>
        <v>0</v>
      </c>
      <c r="H11" s="413">
        <f t="shared" si="2"/>
        <v>516619.19</v>
      </c>
      <c r="I11" s="444"/>
    </row>
    <row r="12" spans="1:9" s="330" customFormat="1" ht="12.75" customHeight="1" x14ac:dyDescent="0.25">
      <c r="A12" s="408" t="s">
        <v>1441</v>
      </c>
      <c r="B12" s="409">
        <v>46020</v>
      </c>
      <c r="C12" s="410" t="s">
        <v>1442</v>
      </c>
      <c r="D12" s="412"/>
      <c r="E12" s="412">
        <f t="shared" si="0"/>
        <v>516619.19</v>
      </c>
      <c r="F12" s="445">
        <v>385281.14</v>
      </c>
      <c r="G12" s="413">
        <f t="shared" si="1"/>
        <v>385281.14</v>
      </c>
      <c r="H12" s="413">
        <f t="shared" si="2"/>
        <v>131338.04999999999</v>
      </c>
      <c r="I12" s="482">
        <v>11915.91</v>
      </c>
    </row>
    <row r="13" spans="1:9" s="330" customFormat="1" ht="12.75" customHeight="1" x14ac:dyDescent="0.25">
      <c r="A13" s="408" t="s">
        <v>1252</v>
      </c>
      <c r="B13" s="409">
        <v>46031</v>
      </c>
      <c r="C13" s="410" t="s">
        <v>1469</v>
      </c>
      <c r="D13" s="411">
        <v>8084.5</v>
      </c>
      <c r="E13" s="412">
        <f t="shared" si="0"/>
        <v>524703.68999999994</v>
      </c>
      <c r="F13" s="422"/>
      <c r="G13" s="413">
        <f t="shared" si="1"/>
        <v>385281.14</v>
      </c>
      <c r="H13" s="413">
        <f t="shared" si="2"/>
        <v>139422.54999999999</v>
      </c>
      <c r="I13" s="482"/>
    </row>
    <row r="14" spans="1:9" s="330" customFormat="1" ht="12.75" customHeight="1" x14ac:dyDescent="0.25">
      <c r="A14" s="408" t="s">
        <v>1252</v>
      </c>
      <c r="B14" s="409">
        <v>46125</v>
      </c>
      <c r="C14" s="410" t="s">
        <v>1770</v>
      </c>
      <c r="D14" s="411">
        <v>0</v>
      </c>
      <c r="E14" s="412">
        <f t="shared" si="0"/>
        <v>524703.68999999994</v>
      </c>
      <c r="F14" s="413"/>
      <c r="G14" s="413">
        <f t="shared" si="1"/>
        <v>385281.14</v>
      </c>
      <c r="H14" s="413">
        <f t="shared" si="2"/>
        <v>139422.54999999999</v>
      </c>
      <c r="I14" s="482"/>
    </row>
    <row r="15" spans="1:9" s="330" customFormat="1" ht="12.75" customHeight="1" x14ac:dyDescent="0.25">
      <c r="A15" s="408" t="s">
        <v>1793</v>
      </c>
      <c r="B15" s="409">
        <v>46134</v>
      </c>
      <c r="C15" s="410" t="s">
        <v>1794</v>
      </c>
      <c r="D15" s="412"/>
      <c r="E15" s="412">
        <f t="shared" si="0"/>
        <v>524703.68999999994</v>
      </c>
      <c r="F15" s="445">
        <v>24972.65</v>
      </c>
      <c r="G15" s="413">
        <f t="shared" si="1"/>
        <v>410253.79000000004</v>
      </c>
      <c r="H15" s="413">
        <f t="shared" si="2"/>
        <v>114449.9</v>
      </c>
      <c r="I15" s="482">
        <f>I12+772.35</f>
        <v>12688.26</v>
      </c>
    </row>
    <row r="16" spans="1:9" s="330" customFormat="1" ht="12.75" customHeight="1" x14ac:dyDescent="0.25">
      <c r="A16" s="408"/>
      <c r="B16" s="409"/>
      <c r="C16" s="410"/>
      <c r="D16" s="412"/>
      <c r="E16" s="412">
        <f t="shared" si="0"/>
        <v>524703.68999999994</v>
      </c>
      <c r="F16" s="422"/>
      <c r="G16" s="413">
        <f t="shared" si="1"/>
        <v>410253.79000000004</v>
      </c>
      <c r="H16" s="413">
        <f t="shared" si="2"/>
        <v>114449.9</v>
      </c>
      <c r="I16" s="482"/>
    </row>
    <row r="17" spans="1:11" s="330" customFormat="1" ht="12.75" customHeight="1" x14ac:dyDescent="0.25">
      <c r="A17" s="408"/>
      <c r="B17" s="409"/>
      <c r="C17" s="410"/>
      <c r="D17" s="412"/>
      <c r="E17" s="412">
        <f t="shared" si="0"/>
        <v>524703.68999999994</v>
      </c>
      <c r="F17" s="422"/>
      <c r="G17" s="413">
        <f t="shared" si="1"/>
        <v>410253.79000000004</v>
      </c>
      <c r="H17" s="413">
        <f t="shared" si="2"/>
        <v>114449.9</v>
      </c>
      <c r="I17" s="482"/>
    </row>
    <row r="18" spans="1:11" s="330" customFormat="1" ht="12.75" customHeight="1" x14ac:dyDescent="0.25">
      <c r="A18" s="408"/>
      <c r="B18" s="409"/>
      <c r="C18" s="410"/>
      <c r="D18" s="412"/>
      <c r="E18" s="412">
        <f t="shared" si="0"/>
        <v>524703.68999999994</v>
      </c>
      <c r="F18" s="422"/>
      <c r="G18" s="413">
        <f t="shared" si="1"/>
        <v>410253.79000000004</v>
      </c>
      <c r="H18" s="413">
        <f t="shared" si="2"/>
        <v>114449.9</v>
      </c>
      <c r="I18" s="482"/>
    </row>
    <row r="19" spans="1:11" s="330" customFormat="1" ht="12.75" customHeight="1" x14ac:dyDescent="0.25">
      <c r="A19" s="408"/>
      <c r="B19" s="409"/>
      <c r="C19" s="410"/>
      <c r="D19" s="412"/>
      <c r="E19" s="412">
        <f t="shared" si="0"/>
        <v>524703.68999999994</v>
      </c>
      <c r="F19" s="413"/>
      <c r="G19" s="413">
        <f t="shared" si="1"/>
        <v>410253.79000000004</v>
      </c>
      <c r="H19" s="413">
        <f t="shared" si="2"/>
        <v>114449.9</v>
      </c>
      <c r="I19" s="482"/>
    </row>
    <row r="20" spans="1:11" s="330" customFormat="1" ht="12.75" customHeight="1" x14ac:dyDescent="0.25">
      <c r="A20" s="408"/>
      <c r="B20" s="409"/>
      <c r="C20" s="410"/>
      <c r="D20" s="412"/>
      <c r="E20" s="412">
        <f t="shared" si="0"/>
        <v>524703.68999999994</v>
      </c>
      <c r="F20" s="413"/>
      <c r="G20" s="413">
        <f t="shared" si="1"/>
        <v>410253.79000000004</v>
      </c>
      <c r="H20" s="413">
        <f t="shared" si="2"/>
        <v>114449.9</v>
      </c>
      <c r="I20" s="482"/>
    </row>
    <row r="21" spans="1:11" s="330" customFormat="1" ht="12.75" customHeight="1" x14ac:dyDescent="0.25">
      <c r="A21" s="408"/>
      <c r="B21" s="409"/>
      <c r="C21" s="423"/>
      <c r="D21" s="412"/>
      <c r="E21" s="412">
        <f t="shared" si="0"/>
        <v>524703.68999999994</v>
      </c>
      <c r="F21" s="413"/>
      <c r="G21" s="413">
        <f t="shared" si="1"/>
        <v>410253.79000000004</v>
      </c>
      <c r="H21" s="413">
        <f t="shared" si="2"/>
        <v>114449.9</v>
      </c>
      <c r="I21" s="482"/>
    </row>
    <row r="22" spans="1:11" s="330" customFormat="1" ht="12.75" customHeight="1" x14ac:dyDescent="0.25">
      <c r="A22" s="408"/>
      <c r="B22" s="410"/>
      <c r="C22" s="425"/>
      <c r="D22" s="413"/>
      <c r="E22" s="413"/>
      <c r="F22" s="413"/>
      <c r="G22" s="413"/>
      <c r="H22" s="413"/>
      <c r="I22" s="414"/>
      <c r="K22" s="446"/>
    </row>
    <row r="23" spans="1:11" s="330" customFormat="1" ht="12.75" customHeight="1" thickBot="1" x14ac:dyDescent="0.3">
      <c r="A23" s="408"/>
      <c r="B23" s="449"/>
      <c r="C23" s="450" t="s">
        <v>54</v>
      </c>
      <c r="D23" s="426">
        <f>SUM(D9:D22)</f>
        <v>524703.68999999994</v>
      </c>
      <c r="E23" s="426"/>
      <c r="F23" s="426">
        <f>SUM(F9:F22)</f>
        <v>410253.79000000004</v>
      </c>
      <c r="G23" s="426"/>
      <c r="H23" s="426">
        <f>D23-F23</f>
        <v>114449.89999999991</v>
      </c>
      <c r="I23" s="414"/>
    </row>
    <row r="24" spans="1:11" s="330" customFormat="1" ht="12.75" customHeight="1" thickTop="1" x14ac:dyDescent="0.25">
      <c r="A24" s="408"/>
      <c r="B24" s="410"/>
      <c r="C24" s="425"/>
      <c r="D24" s="413"/>
      <c r="E24" s="413"/>
      <c r="F24" s="413"/>
      <c r="G24" s="413"/>
      <c r="H24" s="413"/>
      <c r="I24" s="414"/>
    </row>
    <row r="25" spans="1:11" s="330" customFormat="1" ht="12.75" customHeight="1" x14ac:dyDescent="0.25">
      <c r="A25" s="408"/>
      <c r="B25" s="410"/>
      <c r="C25" s="425"/>
      <c r="D25" s="413"/>
      <c r="E25" s="413"/>
      <c r="F25" s="413"/>
      <c r="G25" s="413"/>
      <c r="H25" s="413"/>
      <c r="I25" s="414"/>
    </row>
    <row r="26" spans="1:11" s="330" customFormat="1" ht="12.75" customHeight="1" x14ac:dyDescent="0.25">
      <c r="A26" s="408"/>
      <c r="B26" s="410"/>
      <c r="C26" s="425" t="s">
        <v>1287</v>
      </c>
      <c r="D26" s="413">
        <f>'#9239.03 Con-Struct Inc'!D22</f>
        <v>238195</v>
      </c>
      <c r="E26" s="413"/>
      <c r="F26" s="413">
        <f>'#9239.03 Con-Struct Inc'!F22</f>
        <v>189109.31</v>
      </c>
      <c r="G26" s="413"/>
      <c r="H26" s="413">
        <f>D26-F26</f>
        <v>49085.69</v>
      </c>
      <c r="I26" s="414"/>
    </row>
    <row r="27" spans="1:11" s="330" customFormat="1" ht="12.75" customHeight="1" thickBot="1" x14ac:dyDescent="0.3">
      <c r="A27" s="408"/>
      <c r="B27" s="410"/>
      <c r="C27" s="424" t="s">
        <v>555</v>
      </c>
      <c r="D27" s="426">
        <f>SUM(D23:D26)</f>
        <v>762898.69</v>
      </c>
      <c r="E27" s="427"/>
      <c r="F27" s="426">
        <f>SUM(F23:F26)</f>
        <v>599363.10000000009</v>
      </c>
      <c r="G27" s="427"/>
      <c r="H27" s="426">
        <f>SUM(H23:H26)</f>
        <v>163535.58999999991</v>
      </c>
      <c r="I27" s="414"/>
    </row>
    <row r="28" spans="1:11" s="330" customFormat="1" ht="12.75" customHeight="1" thickTop="1" x14ac:dyDescent="0.25"/>
    <row r="30" spans="1:11" ht="15" customHeight="1" x14ac:dyDescent="0.25">
      <c r="A30" s="176" t="s">
        <v>1417</v>
      </c>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299F-C4F9-4D6D-A67C-86BC7448CF9F}">
  <sheetPr codeName="Sheet119">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1593</v>
      </c>
      <c r="B4" s="126"/>
      <c r="C4" s="127"/>
      <c r="D4" s="128" t="s">
        <v>1594</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1596</v>
      </c>
      <c r="B9" s="409">
        <v>46069</v>
      </c>
      <c r="C9" s="410" t="s">
        <v>107</v>
      </c>
      <c r="D9" s="411">
        <v>1280500</v>
      </c>
      <c r="E9" s="412">
        <f>D9</f>
        <v>1280500</v>
      </c>
      <c r="F9" s="413"/>
      <c r="G9" s="413"/>
      <c r="H9" s="413">
        <f>E9</f>
        <v>1280500</v>
      </c>
      <c r="I9" s="414"/>
    </row>
    <row r="10" spans="1:9" s="330" customFormat="1" ht="12.75" customHeight="1" x14ac:dyDescent="0.25">
      <c r="A10" s="408"/>
      <c r="B10" s="240"/>
      <c r="C10" s="410"/>
      <c r="D10" s="412"/>
      <c r="E10" s="412">
        <f t="shared" ref="E10:E26" si="0">E9+D10</f>
        <v>1280500</v>
      </c>
      <c r="F10" s="445"/>
      <c r="G10" s="413">
        <f t="shared" ref="G10:G26" si="1">G9+F10</f>
        <v>0</v>
      </c>
      <c r="H10" s="413">
        <f t="shared" ref="H10:H26" si="2">H9-F10+D10</f>
        <v>1280500</v>
      </c>
      <c r="I10" s="414"/>
    </row>
    <row r="11" spans="1:9" s="330" customFormat="1" ht="12.75" customHeight="1" x14ac:dyDescent="0.25">
      <c r="A11" s="408"/>
      <c r="B11" s="409"/>
      <c r="C11" s="410"/>
      <c r="D11" s="412"/>
      <c r="E11" s="412">
        <f t="shared" si="0"/>
        <v>1280500</v>
      </c>
      <c r="F11" s="445"/>
      <c r="G11" s="413">
        <f t="shared" si="1"/>
        <v>0</v>
      </c>
      <c r="H11" s="413">
        <f t="shared" si="2"/>
        <v>1280500</v>
      </c>
      <c r="I11" s="414"/>
    </row>
    <row r="12" spans="1:9" s="330" customFormat="1" ht="12.75" customHeight="1" x14ac:dyDescent="0.25">
      <c r="A12" s="408"/>
      <c r="B12" s="409"/>
      <c r="C12" s="410"/>
      <c r="D12" s="412"/>
      <c r="E12" s="412">
        <f t="shared" si="0"/>
        <v>1280500</v>
      </c>
      <c r="F12" s="445"/>
      <c r="G12" s="413">
        <f t="shared" si="1"/>
        <v>0</v>
      </c>
      <c r="H12" s="413">
        <f t="shared" si="2"/>
        <v>1280500</v>
      </c>
      <c r="I12" s="414"/>
    </row>
    <row r="13" spans="1:9" s="330" customFormat="1" ht="12.75" customHeight="1" x14ac:dyDescent="0.25">
      <c r="A13" s="408"/>
      <c r="B13" s="409"/>
      <c r="C13" s="410"/>
      <c r="D13" s="412"/>
      <c r="E13" s="412">
        <f t="shared" si="0"/>
        <v>1280500</v>
      </c>
      <c r="F13" s="445"/>
      <c r="G13" s="413">
        <f t="shared" si="1"/>
        <v>0</v>
      </c>
      <c r="H13" s="413">
        <f t="shared" si="2"/>
        <v>1280500</v>
      </c>
      <c r="I13" s="414"/>
    </row>
    <row r="14" spans="1:9" s="330" customFormat="1" ht="12.75" customHeight="1" x14ac:dyDescent="0.25">
      <c r="A14" s="408"/>
      <c r="B14" s="409"/>
      <c r="C14" s="410"/>
      <c r="D14" s="411"/>
      <c r="E14" s="412">
        <f t="shared" si="0"/>
        <v>1280500</v>
      </c>
      <c r="F14" s="413"/>
      <c r="G14" s="413">
        <f t="shared" si="1"/>
        <v>0</v>
      </c>
      <c r="H14" s="413">
        <f t="shared" si="2"/>
        <v>1280500</v>
      </c>
      <c r="I14" s="414"/>
    </row>
    <row r="15" spans="1:9" s="330" customFormat="1" ht="12.75" customHeight="1" x14ac:dyDescent="0.25">
      <c r="A15" s="408"/>
      <c r="B15" s="409"/>
      <c r="C15" s="410"/>
      <c r="D15" s="412"/>
      <c r="E15" s="412">
        <f t="shared" si="0"/>
        <v>1280500</v>
      </c>
      <c r="F15" s="445"/>
      <c r="G15" s="413">
        <f t="shared" si="1"/>
        <v>0</v>
      </c>
      <c r="H15" s="413">
        <f t="shared" si="2"/>
        <v>1280500</v>
      </c>
      <c r="I15" s="414"/>
    </row>
    <row r="16" spans="1:9" s="330" customFormat="1" ht="12.75" customHeight="1" x14ac:dyDescent="0.25">
      <c r="A16" s="408"/>
      <c r="B16" s="409"/>
      <c r="C16" s="410"/>
      <c r="D16" s="412"/>
      <c r="E16" s="412">
        <f t="shared" si="0"/>
        <v>1280500</v>
      </c>
      <c r="F16" s="445"/>
      <c r="G16" s="413">
        <f t="shared" si="1"/>
        <v>0</v>
      </c>
      <c r="H16" s="413">
        <f t="shared" si="2"/>
        <v>1280500</v>
      </c>
      <c r="I16" s="414"/>
    </row>
    <row r="17" spans="1:9" s="330" customFormat="1" ht="12.75" customHeight="1" x14ac:dyDescent="0.25">
      <c r="A17" s="408"/>
      <c r="B17" s="409"/>
      <c r="C17" s="410"/>
      <c r="D17" s="412"/>
      <c r="E17" s="412">
        <f t="shared" si="0"/>
        <v>1280500</v>
      </c>
      <c r="F17" s="445"/>
      <c r="G17" s="413">
        <f t="shared" si="1"/>
        <v>0</v>
      </c>
      <c r="H17" s="413">
        <f t="shared" si="2"/>
        <v>1280500</v>
      </c>
      <c r="I17" s="448"/>
    </row>
    <row r="18" spans="1:9" s="330" customFormat="1" ht="12.75" customHeight="1" x14ac:dyDescent="0.25">
      <c r="A18" s="408"/>
      <c r="B18" s="409"/>
      <c r="C18" s="410"/>
      <c r="D18" s="494"/>
      <c r="E18" s="412">
        <f t="shared" si="0"/>
        <v>1280500</v>
      </c>
      <c r="F18" s="422"/>
      <c r="G18" s="413">
        <f t="shared" si="1"/>
        <v>0</v>
      </c>
      <c r="H18" s="413">
        <f t="shared" si="2"/>
        <v>1280500</v>
      </c>
      <c r="I18" s="414"/>
    </row>
    <row r="19" spans="1:9" s="330" customFormat="1" ht="12.75" customHeight="1" x14ac:dyDescent="0.25">
      <c r="A19" s="408"/>
      <c r="B19" s="409"/>
      <c r="C19" s="410"/>
      <c r="D19" s="412"/>
      <c r="E19" s="412">
        <f t="shared" si="0"/>
        <v>1280500</v>
      </c>
      <c r="F19" s="445"/>
      <c r="G19" s="413">
        <f t="shared" si="1"/>
        <v>0</v>
      </c>
      <c r="H19" s="413">
        <f t="shared" si="2"/>
        <v>1280500</v>
      </c>
      <c r="I19" s="414"/>
    </row>
    <row r="20" spans="1:9" s="330" customFormat="1" ht="12.75" customHeight="1" x14ac:dyDescent="0.25">
      <c r="A20" s="408"/>
      <c r="B20" s="409"/>
      <c r="C20" s="410"/>
      <c r="D20" s="412"/>
      <c r="E20" s="412">
        <f t="shared" si="0"/>
        <v>1280500</v>
      </c>
      <c r="F20" s="445"/>
      <c r="G20" s="413">
        <f t="shared" si="1"/>
        <v>0</v>
      </c>
      <c r="H20" s="413">
        <f t="shared" si="2"/>
        <v>1280500</v>
      </c>
      <c r="I20" s="414"/>
    </row>
    <row r="21" spans="1:9" s="330" customFormat="1" ht="12.75" customHeight="1" x14ac:dyDescent="0.25">
      <c r="A21" s="408"/>
      <c r="B21" s="409"/>
      <c r="C21" s="410"/>
      <c r="D21" s="411"/>
      <c r="E21" s="412">
        <f t="shared" si="0"/>
        <v>1280500</v>
      </c>
      <c r="F21" s="445"/>
      <c r="G21" s="413">
        <f t="shared" si="1"/>
        <v>0</v>
      </c>
      <c r="H21" s="413">
        <f t="shared" si="2"/>
        <v>1280500</v>
      </c>
      <c r="I21" s="414"/>
    </row>
    <row r="22" spans="1:9" s="330" customFormat="1" ht="12.75" customHeight="1" x14ac:dyDescent="0.25">
      <c r="A22" s="408"/>
      <c r="B22" s="409"/>
      <c r="C22" s="410"/>
      <c r="D22" s="412"/>
      <c r="E22" s="412">
        <f t="shared" si="0"/>
        <v>1280500</v>
      </c>
      <c r="F22" s="445"/>
      <c r="G22" s="413">
        <f t="shared" si="1"/>
        <v>0</v>
      </c>
      <c r="H22" s="413">
        <f t="shared" si="2"/>
        <v>1280500</v>
      </c>
      <c r="I22" s="414"/>
    </row>
    <row r="23" spans="1:9" s="330" customFormat="1" ht="12.75" customHeight="1" x14ac:dyDescent="0.25">
      <c r="A23" s="408"/>
      <c r="B23" s="409"/>
      <c r="C23" s="410"/>
      <c r="D23" s="412"/>
      <c r="E23" s="412">
        <f t="shared" si="0"/>
        <v>1280500</v>
      </c>
      <c r="F23" s="445"/>
      <c r="G23" s="413">
        <f t="shared" si="1"/>
        <v>0</v>
      </c>
      <c r="H23" s="413">
        <f t="shared" si="2"/>
        <v>1280500</v>
      </c>
      <c r="I23" s="414"/>
    </row>
    <row r="24" spans="1:9" s="330" customFormat="1" ht="12.75" customHeight="1" x14ac:dyDescent="0.25">
      <c r="A24" s="408"/>
      <c r="B24" s="409"/>
      <c r="C24" s="410"/>
      <c r="D24" s="412"/>
      <c r="E24" s="412">
        <f t="shared" si="0"/>
        <v>1280500</v>
      </c>
      <c r="F24" s="445"/>
      <c r="G24" s="413">
        <f t="shared" si="1"/>
        <v>0</v>
      </c>
      <c r="H24" s="413">
        <f t="shared" si="2"/>
        <v>1280500</v>
      </c>
      <c r="I24" s="414"/>
    </row>
    <row r="25" spans="1:9" s="330" customFormat="1" ht="12.75" customHeight="1" x14ac:dyDescent="0.25">
      <c r="A25" s="408"/>
      <c r="B25" s="409"/>
      <c r="C25" s="410"/>
      <c r="D25" s="412"/>
      <c r="E25" s="412">
        <f t="shared" si="0"/>
        <v>1280500</v>
      </c>
      <c r="F25" s="445"/>
      <c r="G25" s="413">
        <f t="shared" si="1"/>
        <v>0</v>
      </c>
      <c r="H25" s="413">
        <f t="shared" si="2"/>
        <v>1280500</v>
      </c>
      <c r="I25" s="414"/>
    </row>
    <row r="26" spans="1:9" s="330" customFormat="1" ht="12.75" customHeight="1" x14ac:dyDescent="0.25">
      <c r="A26" s="408"/>
      <c r="B26" s="409"/>
      <c r="C26" s="410"/>
      <c r="D26" s="412"/>
      <c r="E26" s="412">
        <f t="shared" si="0"/>
        <v>1280500</v>
      </c>
      <c r="F26" s="422"/>
      <c r="G26" s="413">
        <f t="shared" si="1"/>
        <v>0</v>
      </c>
      <c r="H26" s="413">
        <f t="shared" si="2"/>
        <v>1280500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1280500</v>
      </c>
      <c r="E28" s="426"/>
      <c r="F28" s="426">
        <f>SUM(F9:F27)</f>
        <v>0</v>
      </c>
      <c r="G28" s="426"/>
      <c r="H28" s="426">
        <f>D28-F28</f>
        <v>1280500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C0B9-E70D-4236-94F1-8A7DBA012E89}">
  <sheetPr codeName="Sheet120">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1603</v>
      </c>
      <c r="B4" s="126"/>
      <c r="C4" s="127"/>
      <c r="D4" s="128" t="s">
        <v>1604</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1605</v>
      </c>
      <c r="B9" s="409">
        <v>46071</v>
      </c>
      <c r="C9" s="410" t="s">
        <v>107</v>
      </c>
      <c r="D9" s="411">
        <v>403200</v>
      </c>
      <c r="E9" s="412">
        <f>D9</f>
        <v>403200</v>
      </c>
      <c r="F9" s="413"/>
      <c r="G9" s="413"/>
      <c r="H9" s="413">
        <f>E9</f>
        <v>403200</v>
      </c>
      <c r="I9" s="414"/>
    </row>
    <row r="10" spans="1:9" s="330" customFormat="1" ht="12.75" customHeight="1" x14ac:dyDescent="0.25">
      <c r="A10" s="408"/>
      <c r="B10" s="240"/>
      <c r="C10" s="410"/>
      <c r="D10" s="412"/>
      <c r="E10" s="412">
        <f t="shared" ref="E10:E26" si="0">E9+D10</f>
        <v>403200</v>
      </c>
      <c r="F10" s="445"/>
      <c r="G10" s="413">
        <f t="shared" ref="G10:G26" si="1">G9+F10</f>
        <v>0</v>
      </c>
      <c r="H10" s="413">
        <f t="shared" ref="H10:H26" si="2">H9-F10+D10</f>
        <v>403200</v>
      </c>
      <c r="I10" s="414"/>
    </row>
    <row r="11" spans="1:9" s="330" customFormat="1" ht="12.75" customHeight="1" x14ac:dyDescent="0.25">
      <c r="A11" s="408"/>
      <c r="B11" s="409"/>
      <c r="C11" s="410"/>
      <c r="D11" s="412"/>
      <c r="E11" s="412">
        <f t="shared" si="0"/>
        <v>403200</v>
      </c>
      <c r="F11" s="445"/>
      <c r="G11" s="413">
        <f t="shared" si="1"/>
        <v>0</v>
      </c>
      <c r="H11" s="413">
        <f t="shared" si="2"/>
        <v>403200</v>
      </c>
      <c r="I11" s="414"/>
    </row>
    <row r="12" spans="1:9" s="330" customFormat="1" ht="12.75" customHeight="1" x14ac:dyDescent="0.25">
      <c r="A12" s="408"/>
      <c r="B12" s="409"/>
      <c r="C12" s="410"/>
      <c r="D12" s="412"/>
      <c r="E12" s="412">
        <f t="shared" si="0"/>
        <v>403200</v>
      </c>
      <c r="F12" s="445"/>
      <c r="G12" s="413">
        <f t="shared" si="1"/>
        <v>0</v>
      </c>
      <c r="H12" s="413">
        <f t="shared" si="2"/>
        <v>403200</v>
      </c>
      <c r="I12" s="414"/>
    </row>
    <row r="13" spans="1:9" s="330" customFormat="1" ht="12.75" customHeight="1" x14ac:dyDescent="0.25">
      <c r="A13" s="408"/>
      <c r="B13" s="409"/>
      <c r="C13" s="410"/>
      <c r="D13" s="412"/>
      <c r="E13" s="412">
        <f t="shared" si="0"/>
        <v>403200</v>
      </c>
      <c r="F13" s="445"/>
      <c r="G13" s="413">
        <f t="shared" si="1"/>
        <v>0</v>
      </c>
      <c r="H13" s="413">
        <f t="shared" si="2"/>
        <v>403200</v>
      </c>
      <c r="I13" s="414"/>
    </row>
    <row r="14" spans="1:9" s="330" customFormat="1" ht="12.75" customHeight="1" x14ac:dyDescent="0.25">
      <c r="A14" s="408"/>
      <c r="B14" s="409"/>
      <c r="C14" s="410"/>
      <c r="D14" s="411"/>
      <c r="E14" s="412">
        <f t="shared" si="0"/>
        <v>403200</v>
      </c>
      <c r="F14" s="413"/>
      <c r="G14" s="413">
        <f t="shared" si="1"/>
        <v>0</v>
      </c>
      <c r="H14" s="413">
        <f t="shared" si="2"/>
        <v>403200</v>
      </c>
      <c r="I14" s="414"/>
    </row>
    <row r="15" spans="1:9" s="330" customFormat="1" ht="12.75" customHeight="1" x14ac:dyDescent="0.25">
      <c r="A15" s="408"/>
      <c r="B15" s="409"/>
      <c r="C15" s="410"/>
      <c r="D15" s="412"/>
      <c r="E15" s="412">
        <f t="shared" si="0"/>
        <v>403200</v>
      </c>
      <c r="F15" s="445"/>
      <c r="G15" s="413">
        <f t="shared" si="1"/>
        <v>0</v>
      </c>
      <c r="H15" s="413">
        <f t="shared" si="2"/>
        <v>403200</v>
      </c>
      <c r="I15" s="414"/>
    </row>
    <row r="16" spans="1:9" s="330" customFormat="1" ht="12.75" customHeight="1" x14ac:dyDescent="0.25">
      <c r="A16" s="408"/>
      <c r="B16" s="409"/>
      <c r="C16" s="410"/>
      <c r="D16" s="412"/>
      <c r="E16" s="412">
        <f t="shared" si="0"/>
        <v>403200</v>
      </c>
      <c r="F16" s="445"/>
      <c r="G16" s="413">
        <f t="shared" si="1"/>
        <v>0</v>
      </c>
      <c r="H16" s="413">
        <f t="shared" si="2"/>
        <v>403200</v>
      </c>
      <c r="I16" s="414"/>
    </row>
    <row r="17" spans="1:9" s="330" customFormat="1" ht="12.75" customHeight="1" x14ac:dyDescent="0.25">
      <c r="A17" s="408"/>
      <c r="B17" s="409"/>
      <c r="C17" s="410"/>
      <c r="D17" s="412"/>
      <c r="E17" s="412">
        <f t="shared" si="0"/>
        <v>403200</v>
      </c>
      <c r="F17" s="445"/>
      <c r="G17" s="413">
        <f t="shared" si="1"/>
        <v>0</v>
      </c>
      <c r="H17" s="413">
        <f t="shared" si="2"/>
        <v>403200</v>
      </c>
      <c r="I17" s="448"/>
    </row>
    <row r="18" spans="1:9" s="330" customFormat="1" ht="12.75" customHeight="1" x14ac:dyDescent="0.25">
      <c r="A18" s="408"/>
      <c r="B18" s="409"/>
      <c r="C18" s="410"/>
      <c r="D18" s="494"/>
      <c r="E18" s="412">
        <f t="shared" si="0"/>
        <v>403200</v>
      </c>
      <c r="F18" s="422"/>
      <c r="G18" s="413">
        <f t="shared" si="1"/>
        <v>0</v>
      </c>
      <c r="H18" s="413">
        <f t="shared" si="2"/>
        <v>403200</v>
      </c>
      <c r="I18" s="414"/>
    </row>
    <row r="19" spans="1:9" s="330" customFormat="1" ht="12.75" customHeight="1" x14ac:dyDescent="0.25">
      <c r="A19" s="408"/>
      <c r="B19" s="409"/>
      <c r="C19" s="410"/>
      <c r="D19" s="412"/>
      <c r="E19" s="412">
        <f t="shared" si="0"/>
        <v>403200</v>
      </c>
      <c r="F19" s="445"/>
      <c r="G19" s="413">
        <f t="shared" si="1"/>
        <v>0</v>
      </c>
      <c r="H19" s="413">
        <f t="shared" si="2"/>
        <v>403200</v>
      </c>
      <c r="I19" s="414"/>
    </row>
    <row r="20" spans="1:9" s="330" customFormat="1" ht="12.75" customHeight="1" x14ac:dyDescent="0.25">
      <c r="A20" s="408"/>
      <c r="B20" s="409"/>
      <c r="C20" s="410"/>
      <c r="D20" s="412"/>
      <c r="E20" s="412">
        <f t="shared" si="0"/>
        <v>403200</v>
      </c>
      <c r="F20" s="445"/>
      <c r="G20" s="413">
        <f t="shared" si="1"/>
        <v>0</v>
      </c>
      <c r="H20" s="413">
        <f t="shared" si="2"/>
        <v>403200</v>
      </c>
      <c r="I20" s="414"/>
    </row>
    <row r="21" spans="1:9" s="330" customFormat="1" ht="12.75" customHeight="1" x14ac:dyDescent="0.25">
      <c r="A21" s="408"/>
      <c r="B21" s="409"/>
      <c r="C21" s="410"/>
      <c r="D21" s="411"/>
      <c r="E21" s="412">
        <f t="shared" si="0"/>
        <v>403200</v>
      </c>
      <c r="F21" s="445"/>
      <c r="G21" s="413">
        <f t="shared" si="1"/>
        <v>0</v>
      </c>
      <c r="H21" s="413">
        <f t="shared" si="2"/>
        <v>403200</v>
      </c>
      <c r="I21" s="414"/>
    </row>
    <row r="22" spans="1:9" s="330" customFormat="1" ht="12.75" customHeight="1" x14ac:dyDescent="0.25">
      <c r="A22" s="408"/>
      <c r="B22" s="409"/>
      <c r="C22" s="410"/>
      <c r="D22" s="412"/>
      <c r="E22" s="412">
        <f t="shared" si="0"/>
        <v>403200</v>
      </c>
      <c r="F22" s="445"/>
      <c r="G22" s="413">
        <f t="shared" si="1"/>
        <v>0</v>
      </c>
      <c r="H22" s="413">
        <f t="shared" si="2"/>
        <v>403200</v>
      </c>
      <c r="I22" s="414"/>
    </row>
    <row r="23" spans="1:9" s="330" customFormat="1" ht="12.75" customHeight="1" x14ac:dyDescent="0.25">
      <c r="A23" s="408"/>
      <c r="B23" s="409"/>
      <c r="C23" s="410"/>
      <c r="D23" s="412"/>
      <c r="E23" s="412">
        <f t="shared" si="0"/>
        <v>403200</v>
      </c>
      <c r="F23" s="445"/>
      <c r="G23" s="413">
        <f t="shared" si="1"/>
        <v>0</v>
      </c>
      <c r="H23" s="413">
        <f t="shared" si="2"/>
        <v>403200</v>
      </c>
      <c r="I23" s="414"/>
    </row>
    <row r="24" spans="1:9" s="330" customFormat="1" ht="12.75" customHeight="1" x14ac:dyDescent="0.25">
      <c r="A24" s="408"/>
      <c r="B24" s="409"/>
      <c r="C24" s="410"/>
      <c r="D24" s="412"/>
      <c r="E24" s="412">
        <f t="shared" si="0"/>
        <v>403200</v>
      </c>
      <c r="F24" s="445"/>
      <c r="G24" s="413">
        <f t="shared" si="1"/>
        <v>0</v>
      </c>
      <c r="H24" s="413">
        <f t="shared" si="2"/>
        <v>403200</v>
      </c>
      <c r="I24" s="414"/>
    </row>
    <row r="25" spans="1:9" s="330" customFormat="1" ht="12.75" customHeight="1" x14ac:dyDescent="0.25">
      <c r="A25" s="408"/>
      <c r="B25" s="409"/>
      <c r="C25" s="410"/>
      <c r="D25" s="412"/>
      <c r="E25" s="412">
        <f t="shared" si="0"/>
        <v>403200</v>
      </c>
      <c r="F25" s="445"/>
      <c r="G25" s="413">
        <f t="shared" si="1"/>
        <v>0</v>
      </c>
      <c r="H25" s="413">
        <f t="shared" si="2"/>
        <v>403200</v>
      </c>
      <c r="I25" s="414"/>
    </row>
    <row r="26" spans="1:9" s="330" customFormat="1" ht="12.75" customHeight="1" x14ac:dyDescent="0.25">
      <c r="A26" s="408"/>
      <c r="B26" s="409"/>
      <c r="C26" s="410"/>
      <c r="D26" s="412"/>
      <c r="E26" s="412">
        <f t="shared" si="0"/>
        <v>403200</v>
      </c>
      <c r="F26" s="422"/>
      <c r="G26" s="413">
        <f t="shared" si="1"/>
        <v>0</v>
      </c>
      <c r="H26" s="413">
        <f t="shared" si="2"/>
        <v>403200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403200</v>
      </c>
      <c r="E28" s="426"/>
      <c r="F28" s="426">
        <f>SUM(F9:F27)</f>
        <v>0</v>
      </c>
      <c r="G28" s="426"/>
      <c r="H28" s="426">
        <f>D28-F28</f>
        <v>403200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964F-1C53-473B-81A6-D0B9193EE7D6}">
  <sheetPr codeName="Sheet121">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8.42578125" customWidth="1"/>
    <col min="7" max="7" width="12.5703125" customWidth="1"/>
    <col min="8" max="8" width="15.28515625" customWidth="1"/>
    <col min="9" max="9" width="12.28515625" bestFit="1"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1606</v>
      </c>
      <c r="B4" s="126"/>
      <c r="C4" s="127"/>
      <c r="D4" s="588" t="s">
        <v>1725</v>
      </c>
      <c r="E4" s="124"/>
      <c r="F4" s="588" t="s">
        <v>1726</v>
      </c>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1607</v>
      </c>
      <c r="B9" s="409">
        <v>46071</v>
      </c>
      <c r="C9" s="410" t="s">
        <v>107</v>
      </c>
      <c r="D9" s="411">
        <v>177596</v>
      </c>
      <c r="E9" s="412">
        <f>D9</f>
        <v>177596</v>
      </c>
      <c r="F9" s="413"/>
      <c r="G9" s="413"/>
      <c r="H9" s="413">
        <f>E9</f>
        <v>177596</v>
      </c>
      <c r="I9" s="414"/>
    </row>
    <row r="10" spans="1:9" s="330" customFormat="1" ht="12.75" customHeight="1" x14ac:dyDescent="0.25">
      <c r="A10" s="408" t="s">
        <v>1723</v>
      </c>
      <c r="B10" s="240">
        <v>46111</v>
      </c>
      <c r="C10" s="410" t="s">
        <v>1724</v>
      </c>
      <c r="D10" s="412"/>
      <c r="E10" s="412">
        <f t="shared" ref="E10:E26" si="0">E9+D10</f>
        <v>177596</v>
      </c>
      <c r="F10" s="445"/>
      <c r="G10" s="413">
        <f t="shared" ref="G10:G26" si="1">G9+F10</f>
        <v>0</v>
      </c>
      <c r="H10" s="413">
        <f t="shared" ref="H10:H26" si="2">H9-F10+D10</f>
        <v>177596</v>
      </c>
      <c r="I10" s="482"/>
    </row>
    <row r="11" spans="1:9" s="330" customFormat="1" ht="12.75" customHeight="1" x14ac:dyDescent="0.25">
      <c r="A11" s="408" t="s">
        <v>1727</v>
      </c>
      <c r="B11" s="409">
        <v>46111</v>
      </c>
      <c r="C11" s="410" t="s">
        <v>1728</v>
      </c>
      <c r="D11" s="412"/>
      <c r="E11" s="412">
        <f t="shared" si="0"/>
        <v>177596</v>
      </c>
      <c r="F11" s="445">
        <v>6020.79</v>
      </c>
      <c r="G11" s="413">
        <f t="shared" si="1"/>
        <v>6020.79</v>
      </c>
      <c r="H11" s="413">
        <f t="shared" si="2"/>
        <v>171575.21</v>
      </c>
      <c r="I11" s="491">
        <v>186.21</v>
      </c>
    </row>
    <row r="12" spans="1:9" s="330" customFormat="1" ht="12.75" customHeight="1" x14ac:dyDescent="0.25">
      <c r="A12" s="408"/>
      <c r="B12" s="409"/>
      <c r="C12" s="410"/>
      <c r="D12" s="412"/>
      <c r="E12" s="412">
        <f t="shared" si="0"/>
        <v>177596</v>
      </c>
      <c r="F12" s="445"/>
      <c r="G12" s="413">
        <f t="shared" si="1"/>
        <v>6020.79</v>
      </c>
      <c r="H12" s="413">
        <f t="shared" si="2"/>
        <v>171575.21</v>
      </c>
      <c r="I12" s="414"/>
    </row>
    <row r="13" spans="1:9" s="330" customFormat="1" ht="12.75" customHeight="1" x14ac:dyDescent="0.25">
      <c r="A13" s="408"/>
      <c r="B13" s="409"/>
      <c r="C13" s="410"/>
      <c r="D13" s="412"/>
      <c r="E13" s="412">
        <f t="shared" si="0"/>
        <v>177596</v>
      </c>
      <c r="F13" s="445"/>
      <c r="G13" s="413">
        <f t="shared" si="1"/>
        <v>6020.79</v>
      </c>
      <c r="H13" s="413">
        <f t="shared" si="2"/>
        <v>171575.21</v>
      </c>
      <c r="I13" s="414"/>
    </row>
    <row r="14" spans="1:9" s="330" customFormat="1" ht="12.75" customHeight="1" x14ac:dyDescent="0.25">
      <c r="A14" s="408"/>
      <c r="B14" s="409"/>
      <c r="C14" s="410"/>
      <c r="D14" s="411"/>
      <c r="E14" s="412">
        <f t="shared" si="0"/>
        <v>177596</v>
      </c>
      <c r="F14" s="413"/>
      <c r="G14" s="413">
        <f t="shared" si="1"/>
        <v>6020.79</v>
      </c>
      <c r="H14" s="413">
        <f t="shared" si="2"/>
        <v>171575.21</v>
      </c>
      <c r="I14" s="414"/>
    </row>
    <row r="15" spans="1:9" s="330" customFormat="1" ht="12.75" customHeight="1" x14ac:dyDescent="0.25">
      <c r="A15" s="408"/>
      <c r="B15" s="409"/>
      <c r="C15" s="410"/>
      <c r="D15" s="412"/>
      <c r="E15" s="412">
        <f t="shared" si="0"/>
        <v>177596</v>
      </c>
      <c r="F15" s="445"/>
      <c r="G15" s="413">
        <f t="shared" si="1"/>
        <v>6020.79</v>
      </c>
      <c r="H15" s="413">
        <f t="shared" si="2"/>
        <v>171575.21</v>
      </c>
      <c r="I15" s="414"/>
    </row>
    <row r="16" spans="1:9" s="330" customFormat="1" ht="12.75" customHeight="1" x14ac:dyDescent="0.25">
      <c r="A16" s="408"/>
      <c r="B16" s="409"/>
      <c r="C16" s="410"/>
      <c r="D16" s="412"/>
      <c r="E16" s="412">
        <f t="shared" si="0"/>
        <v>177596</v>
      </c>
      <c r="F16" s="445"/>
      <c r="G16" s="413">
        <f t="shared" si="1"/>
        <v>6020.79</v>
      </c>
      <c r="H16" s="413">
        <f t="shared" si="2"/>
        <v>171575.21</v>
      </c>
      <c r="I16" s="414"/>
    </row>
    <row r="17" spans="1:9" s="330" customFormat="1" ht="12.75" customHeight="1" x14ac:dyDescent="0.25">
      <c r="A17" s="408"/>
      <c r="B17" s="409"/>
      <c r="C17" s="410"/>
      <c r="D17" s="412"/>
      <c r="E17" s="412">
        <f t="shared" si="0"/>
        <v>177596</v>
      </c>
      <c r="F17" s="445"/>
      <c r="G17" s="413">
        <f t="shared" si="1"/>
        <v>6020.79</v>
      </c>
      <c r="H17" s="413">
        <f t="shared" si="2"/>
        <v>171575.21</v>
      </c>
      <c r="I17" s="448"/>
    </row>
    <row r="18" spans="1:9" s="330" customFormat="1" ht="12.75" customHeight="1" x14ac:dyDescent="0.25">
      <c r="A18" s="408"/>
      <c r="B18" s="409"/>
      <c r="C18" s="410"/>
      <c r="D18" s="494"/>
      <c r="E18" s="412">
        <f t="shared" si="0"/>
        <v>177596</v>
      </c>
      <c r="F18" s="422"/>
      <c r="G18" s="413">
        <f t="shared" si="1"/>
        <v>6020.79</v>
      </c>
      <c r="H18" s="413">
        <f t="shared" si="2"/>
        <v>171575.21</v>
      </c>
      <c r="I18" s="414"/>
    </row>
    <row r="19" spans="1:9" s="330" customFormat="1" ht="12.75" customHeight="1" x14ac:dyDescent="0.25">
      <c r="A19" s="408"/>
      <c r="B19" s="409"/>
      <c r="C19" s="410"/>
      <c r="D19" s="412"/>
      <c r="E19" s="412">
        <f t="shared" si="0"/>
        <v>177596</v>
      </c>
      <c r="F19" s="445"/>
      <c r="G19" s="413">
        <f t="shared" si="1"/>
        <v>6020.79</v>
      </c>
      <c r="H19" s="413">
        <f t="shared" si="2"/>
        <v>171575.21</v>
      </c>
      <c r="I19" s="414"/>
    </row>
    <row r="20" spans="1:9" s="330" customFormat="1" ht="12.75" customHeight="1" x14ac:dyDescent="0.25">
      <c r="A20" s="408"/>
      <c r="B20" s="409"/>
      <c r="C20" s="410"/>
      <c r="D20" s="412"/>
      <c r="E20" s="412">
        <f t="shared" si="0"/>
        <v>177596</v>
      </c>
      <c r="F20" s="445"/>
      <c r="G20" s="413">
        <f t="shared" si="1"/>
        <v>6020.79</v>
      </c>
      <c r="H20" s="413">
        <f t="shared" si="2"/>
        <v>171575.21</v>
      </c>
      <c r="I20" s="414"/>
    </row>
    <row r="21" spans="1:9" s="330" customFormat="1" ht="12.75" customHeight="1" x14ac:dyDescent="0.25">
      <c r="A21" s="408"/>
      <c r="B21" s="409"/>
      <c r="C21" s="410"/>
      <c r="D21" s="411"/>
      <c r="E21" s="412">
        <f t="shared" si="0"/>
        <v>177596</v>
      </c>
      <c r="F21" s="445"/>
      <c r="G21" s="413">
        <f t="shared" si="1"/>
        <v>6020.79</v>
      </c>
      <c r="H21" s="413">
        <f t="shared" si="2"/>
        <v>171575.21</v>
      </c>
      <c r="I21" s="414"/>
    </row>
    <row r="22" spans="1:9" s="330" customFormat="1" ht="12.75" customHeight="1" x14ac:dyDescent="0.25">
      <c r="A22" s="408"/>
      <c r="B22" s="409"/>
      <c r="C22" s="410"/>
      <c r="D22" s="412"/>
      <c r="E22" s="412">
        <f t="shared" si="0"/>
        <v>177596</v>
      </c>
      <c r="F22" s="445"/>
      <c r="G22" s="413">
        <f t="shared" si="1"/>
        <v>6020.79</v>
      </c>
      <c r="H22" s="413">
        <f t="shared" si="2"/>
        <v>171575.21</v>
      </c>
      <c r="I22" s="414"/>
    </row>
    <row r="23" spans="1:9" s="330" customFormat="1" ht="12.75" customHeight="1" x14ac:dyDescent="0.25">
      <c r="A23" s="408"/>
      <c r="B23" s="409"/>
      <c r="C23" s="410"/>
      <c r="D23" s="412"/>
      <c r="E23" s="412">
        <f t="shared" si="0"/>
        <v>177596</v>
      </c>
      <c r="F23" s="445"/>
      <c r="G23" s="413">
        <f t="shared" si="1"/>
        <v>6020.79</v>
      </c>
      <c r="H23" s="413">
        <f t="shared" si="2"/>
        <v>171575.21</v>
      </c>
      <c r="I23" s="414"/>
    </row>
    <row r="24" spans="1:9" s="330" customFormat="1" ht="12.75" customHeight="1" x14ac:dyDescent="0.25">
      <c r="A24" s="408"/>
      <c r="B24" s="409"/>
      <c r="C24" s="410"/>
      <c r="D24" s="412"/>
      <c r="E24" s="412">
        <f t="shared" si="0"/>
        <v>177596</v>
      </c>
      <c r="F24" s="445"/>
      <c r="G24" s="413">
        <f t="shared" si="1"/>
        <v>6020.79</v>
      </c>
      <c r="H24" s="413">
        <f t="shared" si="2"/>
        <v>171575.21</v>
      </c>
      <c r="I24" s="414"/>
    </row>
    <row r="25" spans="1:9" s="330" customFormat="1" ht="12.75" customHeight="1" x14ac:dyDescent="0.25">
      <c r="A25" s="408"/>
      <c r="B25" s="409"/>
      <c r="C25" s="410"/>
      <c r="D25" s="412"/>
      <c r="E25" s="412">
        <f t="shared" si="0"/>
        <v>177596</v>
      </c>
      <c r="F25" s="445"/>
      <c r="G25" s="413">
        <f t="shared" si="1"/>
        <v>6020.79</v>
      </c>
      <c r="H25" s="413">
        <f t="shared" si="2"/>
        <v>171575.21</v>
      </c>
      <c r="I25" s="414"/>
    </row>
    <row r="26" spans="1:9" s="330" customFormat="1" ht="12.75" customHeight="1" x14ac:dyDescent="0.25">
      <c r="A26" s="408"/>
      <c r="B26" s="409"/>
      <c r="C26" s="410"/>
      <c r="D26" s="412"/>
      <c r="E26" s="412">
        <f t="shared" si="0"/>
        <v>177596</v>
      </c>
      <c r="F26" s="422"/>
      <c r="G26" s="413">
        <f t="shared" si="1"/>
        <v>6020.79</v>
      </c>
      <c r="H26" s="413">
        <f t="shared" si="2"/>
        <v>171575.21</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177596</v>
      </c>
      <c r="E28" s="426"/>
      <c r="F28" s="426">
        <f>SUM(F9:F27)</f>
        <v>6020.79</v>
      </c>
      <c r="G28" s="426"/>
      <c r="H28" s="426">
        <f>D28-F28</f>
        <v>171575.21</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99" t="s">
        <v>1495</v>
      </c>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6009-59E4-490E-A785-D66C420F58C1}">
  <sheetPr codeName="Sheet122">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1608</v>
      </c>
      <c r="B4" s="126"/>
      <c r="C4" s="127"/>
      <c r="D4" s="128" t="s">
        <v>1609</v>
      </c>
      <c r="E4" s="124"/>
      <c r="F4" s="124"/>
      <c r="G4" s="124"/>
      <c r="H4" s="125"/>
      <c r="I4" s="125"/>
    </row>
    <row r="5" spans="1:9" ht="15.75" x14ac:dyDescent="0.25">
      <c r="A5" s="129" t="s">
        <v>109</v>
      </c>
      <c r="B5" s="130"/>
      <c r="C5" s="131"/>
      <c r="D5" s="176" t="s">
        <v>1567</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1610</v>
      </c>
      <c r="B9" s="409">
        <v>46071</v>
      </c>
      <c r="C9" s="410" t="s">
        <v>107</v>
      </c>
      <c r="D9" s="411">
        <v>7581200</v>
      </c>
      <c r="E9" s="412">
        <f>D9</f>
        <v>7581200</v>
      </c>
      <c r="F9" s="413"/>
      <c r="G9" s="413"/>
      <c r="H9" s="413">
        <f>E9</f>
        <v>7581200</v>
      </c>
      <c r="I9" s="414"/>
    </row>
    <row r="10" spans="1:9" s="330" customFormat="1" ht="12.75" customHeight="1" x14ac:dyDescent="0.25">
      <c r="A10" s="408"/>
      <c r="B10" s="240"/>
      <c r="C10" s="410"/>
      <c r="D10" s="412"/>
      <c r="E10" s="412">
        <f t="shared" ref="E10:E26" si="0">E9+D10</f>
        <v>7581200</v>
      </c>
      <c r="F10" s="445"/>
      <c r="G10" s="413">
        <f t="shared" ref="G10:G26" si="1">G9+F10</f>
        <v>0</v>
      </c>
      <c r="H10" s="413">
        <f t="shared" ref="H10:H26" si="2">H9-F10+D10</f>
        <v>7581200</v>
      </c>
      <c r="I10" s="414"/>
    </row>
    <row r="11" spans="1:9" s="330" customFormat="1" ht="12.75" customHeight="1" x14ac:dyDescent="0.25">
      <c r="A11" s="408"/>
      <c r="B11" s="409"/>
      <c r="C11" s="410"/>
      <c r="D11" s="412"/>
      <c r="E11" s="412">
        <f t="shared" si="0"/>
        <v>7581200</v>
      </c>
      <c r="F11" s="445"/>
      <c r="G11" s="413">
        <f t="shared" si="1"/>
        <v>0</v>
      </c>
      <c r="H11" s="413">
        <f t="shared" si="2"/>
        <v>7581200</v>
      </c>
      <c r="I11" s="414"/>
    </row>
    <row r="12" spans="1:9" s="330" customFormat="1" ht="12.75" customHeight="1" x14ac:dyDescent="0.25">
      <c r="A12" s="408"/>
      <c r="B12" s="409"/>
      <c r="C12" s="410"/>
      <c r="D12" s="412"/>
      <c r="E12" s="412">
        <f t="shared" si="0"/>
        <v>7581200</v>
      </c>
      <c r="F12" s="445"/>
      <c r="G12" s="413">
        <f t="shared" si="1"/>
        <v>0</v>
      </c>
      <c r="H12" s="413">
        <f t="shared" si="2"/>
        <v>7581200</v>
      </c>
      <c r="I12" s="414"/>
    </row>
    <row r="13" spans="1:9" s="330" customFormat="1" ht="12.75" customHeight="1" x14ac:dyDescent="0.25">
      <c r="A13" s="408"/>
      <c r="B13" s="409"/>
      <c r="C13" s="410"/>
      <c r="D13" s="412"/>
      <c r="E13" s="412">
        <f t="shared" si="0"/>
        <v>7581200</v>
      </c>
      <c r="F13" s="445"/>
      <c r="G13" s="413">
        <f t="shared" si="1"/>
        <v>0</v>
      </c>
      <c r="H13" s="413">
        <f t="shared" si="2"/>
        <v>7581200</v>
      </c>
      <c r="I13" s="414"/>
    </row>
    <row r="14" spans="1:9" s="330" customFormat="1" ht="12.75" customHeight="1" x14ac:dyDescent="0.25">
      <c r="A14" s="408"/>
      <c r="B14" s="409"/>
      <c r="C14" s="410"/>
      <c r="D14" s="411"/>
      <c r="E14" s="412">
        <f t="shared" si="0"/>
        <v>7581200</v>
      </c>
      <c r="F14" s="413"/>
      <c r="G14" s="413">
        <f t="shared" si="1"/>
        <v>0</v>
      </c>
      <c r="H14" s="413">
        <f t="shared" si="2"/>
        <v>7581200</v>
      </c>
      <c r="I14" s="414"/>
    </row>
    <row r="15" spans="1:9" s="330" customFormat="1" ht="12.75" customHeight="1" x14ac:dyDescent="0.25">
      <c r="A15" s="408"/>
      <c r="B15" s="409"/>
      <c r="C15" s="410"/>
      <c r="D15" s="412"/>
      <c r="E15" s="412">
        <f t="shared" si="0"/>
        <v>7581200</v>
      </c>
      <c r="F15" s="445"/>
      <c r="G15" s="413">
        <f t="shared" si="1"/>
        <v>0</v>
      </c>
      <c r="H15" s="413">
        <f t="shared" si="2"/>
        <v>7581200</v>
      </c>
      <c r="I15" s="414"/>
    </row>
    <row r="16" spans="1:9" s="330" customFormat="1" ht="12.75" customHeight="1" x14ac:dyDescent="0.25">
      <c r="A16" s="408"/>
      <c r="B16" s="409"/>
      <c r="C16" s="410"/>
      <c r="D16" s="412"/>
      <c r="E16" s="412">
        <f t="shared" si="0"/>
        <v>7581200</v>
      </c>
      <c r="F16" s="445"/>
      <c r="G16" s="413">
        <f t="shared" si="1"/>
        <v>0</v>
      </c>
      <c r="H16" s="413">
        <f t="shared" si="2"/>
        <v>7581200</v>
      </c>
      <c r="I16" s="414"/>
    </row>
    <row r="17" spans="1:9" s="330" customFormat="1" ht="12.75" customHeight="1" x14ac:dyDescent="0.25">
      <c r="A17" s="408"/>
      <c r="B17" s="409"/>
      <c r="C17" s="410"/>
      <c r="D17" s="412"/>
      <c r="E17" s="412">
        <f t="shared" si="0"/>
        <v>7581200</v>
      </c>
      <c r="F17" s="445"/>
      <c r="G17" s="413">
        <f t="shared" si="1"/>
        <v>0</v>
      </c>
      <c r="H17" s="413">
        <f t="shared" si="2"/>
        <v>7581200</v>
      </c>
      <c r="I17" s="448"/>
    </row>
    <row r="18" spans="1:9" s="330" customFormat="1" ht="12.75" customHeight="1" x14ac:dyDescent="0.25">
      <c r="A18" s="408"/>
      <c r="B18" s="409"/>
      <c r="C18" s="410"/>
      <c r="D18" s="494"/>
      <c r="E18" s="412">
        <f t="shared" si="0"/>
        <v>7581200</v>
      </c>
      <c r="F18" s="422"/>
      <c r="G18" s="413">
        <f t="shared" si="1"/>
        <v>0</v>
      </c>
      <c r="H18" s="413">
        <f t="shared" si="2"/>
        <v>7581200</v>
      </c>
      <c r="I18" s="414"/>
    </row>
    <row r="19" spans="1:9" s="330" customFormat="1" ht="12.75" customHeight="1" x14ac:dyDescent="0.25">
      <c r="A19" s="408"/>
      <c r="B19" s="409"/>
      <c r="C19" s="410"/>
      <c r="D19" s="412"/>
      <c r="E19" s="412">
        <f t="shared" si="0"/>
        <v>7581200</v>
      </c>
      <c r="F19" s="445"/>
      <c r="G19" s="413">
        <f t="shared" si="1"/>
        <v>0</v>
      </c>
      <c r="H19" s="413">
        <f t="shared" si="2"/>
        <v>7581200</v>
      </c>
      <c r="I19" s="414"/>
    </row>
    <row r="20" spans="1:9" s="330" customFormat="1" ht="12.75" customHeight="1" x14ac:dyDescent="0.25">
      <c r="A20" s="408"/>
      <c r="B20" s="409"/>
      <c r="C20" s="410"/>
      <c r="D20" s="412"/>
      <c r="E20" s="412">
        <f t="shared" si="0"/>
        <v>7581200</v>
      </c>
      <c r="F20" s="445"/>
      <c r="G20" s="413">
        <f t="shared" si="1"/>
        <v>0</v>
      </c>
      <c r="H20" s="413">
        <f t="shared" si="2"/>
        <v>7581200</v>
      </c>
      <c r="I20" s="414"/>
    </row>
    <row r="21" spans="1:9" s="330" customFormat="1" ht="12.75" customHeight="1" x14ac:dyDescent="0.25">
      <c r="A21" s="408"/>
      <c r="B21" s="409"/>
      <c r="C21" s="410"/>
      <c r="D21" s="411"/>
      <c r="E21" s="412">
        <f t="shared" si="0"/>
        <v>7581200</v>
      </c>
      <c r="F21" s="445"/>
      <c r="G21" s="413">
        <f t="shared" si="1"/>
        <v>0</v>
      </c>
      <c r="H21" s="413">
        <f t="shared" si="2"/>
        <v>7581200</v>
      </c>
      <c r="I21" s="414"/>
    </row>
    <row r="22" spans="1:9" s="330" customFormat="1" ht="12.75" customHeight="1" x14ac:dyDescent="0.25">
      <c r="A22" s="408"/>
      <c r="B22" s="409"/>
      <c r="C22" s="410"/>
      <c r="D22" s="412"/>
      <c r="E22" s="412">
        <f t="shared" si="0"/>
        <v>7581200</v>
      </c>
      <c r="F22" s="445"/>
      <c r="G22" s="413">
        <f t="shared" si="1"/>
        <v>0</v>
      </c>
      <c r="H22" s="413">
        <f t="shared" si="2"/>
        <v>7581200</v>
      </c>
      <c r="I22" s="414"/>
    </row>
    <row r="23" spans="1:9" s="330" customFormat="1" ht="12.75" customHeight="1" x14ac:dyDescent="0.25">
      <c r="A23" s="408"/>
      <c r="B23" s="409"/>
      <c r="C23" s="410"/>
      <c r="D23" s="412"/>
      <c r="E23" s="412">
        <f t="shared" si="0"/>
        <v>7581200</v>
      </c>
      <c r="F23" s="445"/>
      <c r="G23" s="413">
        <f t="shared" si="1"/>
        <v>0</v>
      </c>
      <c r="H23" s="413">
        <f t="shared" si="2"/>
        <v>7581200</v>
      </c>
      <c r="I23" s="414"/>
    </row>
    <row r="24" spans="1:9" s="330" customFormat="1" ht="12.75" customHeight="1" x14ac:dyDescent="0.25">
      <c r="A24" s="408"/>
      <c r="B24" s="409"/>
      <c r="C24" s="410"/>
      <c r="D24" s="412"/>
      <c r="E24" s="412">
        <f t="shared" si="0"/>
        <v>7581200</v>
      </c>
      <c r="F24" s="445"/>
      <c r="G24" s="413">
        <f t="shared" si="1"/>
        <v>0</v>
      </c>
      <c r="H24" s="413">
        <f t="shared" si="2"/>
        <v>7581200</v>
      </c>
      <c r="I24" s="414"/>
    </row>
    <row r="25" spans="1:9" s="330" customFormat="1" ht="12.75" customHeight="1" x14ac:dyDescent="0.25">
      <c r="A25" s="408"/>
      <c r="B25" s="409"/>
      <c r="C25" s="410"/>
      <c r="D25" s="412"/>
      <c r="E25" s="412">
        <f t="shared" si="0"/>
        <v>7581200</v>
      </c>
      <c r="F25" s="445"/>
      <c r="G25" s="413">
        <f t="shared" si="1"/>
        <v>0</v>
      </c>
      <c r="H25" s="413">
        <f t="shared" si="2"/>
        <v>7581200</v>
      </c>
      <c r="I25" s="414"/>
    </row>
    <row r="26" spans="1:9" s="330" customFormat="1" ht="12.75" customHeight="1" x14ac:dyDescent="0.25">
      <c r="A26" s="408"/>
      <c r="B26" s="409"/>
      <c r="C26" s="410"/>
      <c r="D26" s="412"/>
      <c r="E26" s="412">
        <f t="shared" si="0"/>
        <v>7581200</v>
      </c>
      <c r="F26" s="422"/>
      <c r="G26" s="413">
        <f t="shared" si="1"/>
        <v>0</v>
      </c>
      <c r="H26" s="413">
        <f t="shared" si="2"/>
        <v>7581200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7581200</v>
      </c>
      <c r="E28" s="426"/>
      <c r="F28" s="426">
        <f>SUM(F9:F27)</f>
        <v>0</v>
      </c>
      <c r="G28" s="426"/>
      <c r="H28" s="426">
        <f>D28-F28</f>
        <v>7581200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3B06-ACCC-4A57-9F66-407A4BA191F3}">
  <sheetPr codeName="Sheet123">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1653</v>
      </c>
      <c r="B4" s="126"/>
      <c r="C4" s="127"/>
      <c r="D4" s="128" t="s">
        <v>1654</v>
      </c>
      <c r="E4" s="124"/>
      <c r="F4" s="124"/>
      <c r="G4" s="124"/>
      <c r="H4" s="125"/>
      <c r="I4" s="125"/>
    </row>
    <row r="5" spans="1:9" ht="15.75" x14ac:dyDescent="0.25">
      <c r="A5" s="129" t="s">
        <v>109</v>
      </c>
      <c r="B5" s="130"/>
      <c r="C5" s="131"/>
      <c r="D5" s="176" t="s">
        <v>1655</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1658</v>
      </c>
      <c r="B9" s="409">
        <v>46085</v>
      </c>
      <c r="C9" s="410" t="s">
        <v>703</v>
      </c>
      <c r="D9" s="411">
        <v>140893.93</v>
      </c>
      <c r="E9" s="412">
        <f>D9</f>
        <v>140893.93</v>
      </c>
      <c r="F9" s="413"/>
      <c r="G9" s="413"/>
      <c r="H9" s="413">
        <f>E9</f>
        <v>140893.93</v>
      </c>
      <c r="I9" s="414"/>
    </row>
    <row r="10" spans="1:9" s="330" customFormat="1" ht="12.75" customHeight="1" x14ac:dyDescent="0.25">
      <c r="A10" s="408"/>
      <c r="B10" s="240"/>
      <c r="C10" s="410"/>
      <c r="D10" s="412"/>
      <c r="E10" s="412">
        <f t="shared" ref="E10:E26" si="0">E9+D10</f>
        <v>140893.93</v>
      </c>
      <c r="F10" s="445"/>
      <c r="G10" s="413">
        <f t="shared" ref="G10:G26" si="1">G9+F10</f>
        <v>0</v>
      </c>
      <c r="H10" s="413">
        <f t="shared" ref="H10:H26" si="2">H9-F10+D10</f>
        <v>140893.93</v>
      </c>
      <c r="I10" s="414"/>
    </row>
    <row r="11" spans="1:9" s="330" customFormat="1" ht="12.75" customHeight="1" x14ac:dyDescent="0.25">
      <c r="A11" s="408"/>
      <c r="B11" s="409"/>
      <c r="C11" s="410"/>
      <c r="D11" s="412"/>
      <c r="E11" s="412">
        <f t="shared" si="0"/>
        <v>140893.93</v>
      </c>
      <c r="F11" s="445"/>
      <c r="G11" s="413">
        <f t="shared" si="1"/>
        <v>0</v>
      </c>
      <c r="H11" s="413">
        <f t="shared" si="2"/>
        <v>140893.93</v>
      </c>
      <c r="I11" s="414"/>
    </row>
    <row r="12" spans="1:9" s="330" customFormat="1" ht="12.75" customHeight="1" x14ac:dyDescent="0.25">
      <c r="A12" s="408"/>
      <c r="B12" s="409"/>
      <c r="C12" s="410"/>
      <c r="D12" s="412"/>
      <c r="E12" s="412">
        <f t="shared" si="0"/>
        <v>140893.93</v>
      </c>
      <c r="F12" s="445"/>
      <c r="G12" s="413">
        <f t="shared" si="1"/>
        <v>0</v>
      </c>
      <c r="H12" s="413">
        <f t="shared" si="2"/>
        <v>140893.93</v>
      </c>
      <c r="I12" s="414"/>
    </row>
    <row r="13" spans="1:9" s="330" customFormat="1" ht="12.75" customHeight="1" x14ac:dyDescent="0.25">
      <c r="A13" s="408"/>
      <c r="B13" s="409"/>
      <c r="C13" s="410"/>
      <c r="D13" s="412"/>
      <c r="E13" s="412">
        <f t="shared" si="0"/>
        <v>140893.93</v>
      </c>
      <c r="F13" s="445"/>
      <c r="G13" s="413">
        <f t="shared" si="1"/>
        <v>0</v>
      </c>
      <c r="H13" s="413">
        <f t="shared" si="2"/>
        <v>140893.93</v>
      </c>
      <c r="I13" s="414"/>
    </row>
    <row r="14" spans="1:9" s="330" customFormat="1" ht="12.75" customHeight="1" x14ac:dyDescent="0.25">
      <c r="A14" s="408"/>
      <c r="B14" s="409"/>
      <c r="C14" s="410"/>
      <c r="D14" s="411"/>
      <c r="E14" s="412">
        <f t="shared" si="0"/>
        <v>140893.93</v>
      </c>
      <c r="F14" s="413"/>
      <c r="G14" s="413">
        <f t="shared" si="1"/>
        <v>0</v>
      </c>
      <c r="H14" s="413">
        <f t="shared" si="2"/>
        <v>140893.93</v>
      </c>
      <c r="I14" s="414"/>
    </row>
    <row r="15" spans="1:9" s="330" customFormat="1" ht="12.75" customHeight="1" x14ac:dyDescent="0.25">
      <c r="A15" s="408"/>
      <c r="B15" s="409"/>
      <c r="C15" s="410"/>
      <c r="D15" s="412"/>
      <c r="E15" s="412">
        <f t="shared" si="0"/>
        <v>140893.93</v>
      </c>
      <c r="F15" s="445"/>
      <c r="G15" s="413">
        <f t="shared" si="1"/>
        <v>0</v>
      </c>
      <c r="H15" s="413">
        <f t="shared" si="2"/>
        <v>140893.93</v>
      </c>
      <c r="I15" s="414"/>
    </row>
    <row r="16" spans="1:9" s="330" customFormat="1" ht="12.75" customHeight="1" x14ac:dyDescent="0.25">
      <c r="A16" s="408"/>
      <c r="B16" s="409"/>
      <c r="C16" s="410"/>
      <c r="D16" s="412"/>
      <c r="E16" s="412">
        <f t="shared" si="0"/>
        <v>140893.93</v>
      </c>
      <c r="F16" s="445"/>
      <c r="G16" s="413">
        <f t="shared" si="1"/>
        <v>0</v>
      </c>
      <c r="H16" s="413">
        <f t="shared" si="2"/>
        <v>140893.93</v>
      </c>
      <c r="I16" s="414"/>
    </row>
    <row r="17" spans="1:9" s="330" customFormat="1" ht="12.75" customHeight="1" x14ac:dyDescent="0.25">
      <c r="A17" s="408"/>
      <c r="B17" s="409"/>
      <c r="C17" s="410"/>
      <c r="D17" s="412"/>
      <c r="E17" s="412">
        <f t="shared" si="0"/>
        <v>140893.93</v>
      </c>
      <c r="F17" s="445"/>
      <c r="G17" s="413">
        <f t="shared" si="1"/>
        <v>0</v>
      </c>
      <c r="H17" s="413">
        <f t="shared" si="2"/>
        <v>140893.93</v>
      </c>
      <c r="I17" s="448"/>
    </row>
    <row r="18" spans="1:9" s="330" customFormat="1" ht="12.75" customHeight="1" x14ac:dyDescent="0.25">
      <c r="A18" s="408"/>
      <c r="B18" s="409"/>
      <c r="C18" s="410"/>
      <c r="D18" s="494"/>
      <c r="E18" s="412">
        <f t="shared" si="0"/>
        <v>140893.93</v>
      </c>
      <c r="F18" s="422"/>
      <c r="G18" s="413">
        <f t="shared" si="1"/>
        <v>0</v>
      </c>
      <c r="H18" s="413">
        <f t="shared" si="2"/>
        <v>140893.93</v>
      </c>
      <c r="I18" s="414"/>
    </row>
    <row r="19" spans="1:9" s="330" customFormat="1" ht="12.75" customHeight="1" x14ac:dyDescent="0.25">
      <c r="A19" s="408"/>
      <c r="B19" s="409"/>
      <c r="C19" s="410"/>
      <c r="D19" s="412"/>
      <c r="E19" s="412">
        <f t="shared" si="0"/>
        <v>140893.93</v>
      </c>
      <c r="F19" s="445"/>
      <c r="G19" s="413">
        <f t="shared" si="1"/>
        <v>0</v>
      </c>
      <c r="H19" s="413">
        <f t="shared" si="2"/>
        <v>140893.93</v>
      </c>
      <c r="I19" s="414"/>
    </row>
    <row r="20" spans="1:9" s="330" customFormat="1" ht="12.75" customHeight="1" x14ac:dyDescent="0.25">
      <c r="A20" s="408"/>
      <c r="B20" s="409"/>
      <c r="C20" s="410"/>
      <c r="D20" s="412"/>
      <c r="E20" s="412">
        <f t="shared" si="0"/>
        <v>140893.93</v>
      </c>
      <c r="F20" s="445"/>
      <c r="G20" s="413">
        <f t="shared" si="1"/>
        <v>0</v>
      </c>
      <c r="H20" s="413">
        <f t="shared" si="2"/>
        <v>140893.93</v>
      </c>
      <c r="I20" s="414"/>
    </row>
    <row r="21" spans="1:9" s="330" customFormat="1" ht="12.75" customHeight="1" x14ac:dyDescent="0.25">
      <c r="A21" s="408"/>
      <c r="B21" s="409"/>
      <c r="C21" s="410"/>
      <c r="D21" s="411"/>
      <c r="E21" s="412">
        <f t="shared" si="0"/>
        <v>140893.93</v>
      </c>
      <c r="F21" s="445"/>
      <c r="G21" s="413">
        <f t="shared" si="1"/>
        <v>0</v>
      </c>
      <c r="H21" s="413">
        <f t="shared" si="2"/>
        <v>140893.93</v>
      </c>
      <c r="I21" s="414"/>
    </row>
    <row r="22" spans="1:9" s="330" customFormat="1" ht="12.75" customHeight="1" x14ac:dyDescent="0.25">
      <c r="A22" s="408"/>
      <c r="B22" s="409"/>
      <c r="C22" s="410"/>
      <c r="D22" s="412"/>
      <c r="E22" s="412">
        <f t="shared" si="0"/>
        <v>140893.93</v>
      </c>
      <c r="F22" s="445"/>
      <c r="G22" s="413">
        <f t="shared" si="1"/>
        <v>0</v>
      </c>
      <c r="H22" s="413">
        <f t="shared" si="2"/>
        <v>140893.93</v>
      </c>
      <c r="I22" s="414"/>
    </row>
    <row r="23" spans="1:9" s="330" customFormat="1" ht="12.75" customHeight="1" x14ac:dyDescent="0.25">
      <c r="A23" s="408"/>
      <c r="B23" s="409"/>
      <c r="C23" s="410"/>
      <c r="D23" s="412"/>
      <c r="E23" s="412">
        <f t="shared" si="0"/>
        <v>140893.93</v>
      </c>
      <c r="F23" s="445"/>
      <c r="G23" s="413">
        <f t="shared" si="1"/>
        <v>0</v>
      </c>
      <c r="H23" s="413">
        <f t="shared" si="2"/>
        <v>140893.93</v>
      </c>
      <c r="I23" s="414"/>
    </row>
    <row r="24" spans="1:9" s="330" customFormat="1" ht="12.75" customHeight="1" x14ac:dyDescent="0.25">
      <c r="A24" s="408"/>
      <c r="B24" s="409"/>
      <c r="C24" s="410"/>
      <c r="D24" s="412"/>
      <c r="E24" s="412">
        <f t="shared" si="0"/>
        <v>140893.93</v>
      </c>
      <c r="F24" s="445"/>
      <c r="G24" s="413">
        <f t="shared" si="1"/>
        <v>0</v>
      </c>
      <c r="H24" s="413">
        <f t="shared" si="2"/>
        <v>140893.93</v>
      </c>
      <c r="I24" s="414"/>
    </row>
    <row r="25" spans="1:9" s="330" customFormat="1" ht="12.75" customHeight="1" x14ac:dyDescent="0.25">
      <c r="A25" s="408"/>
      <c r="B25" s="409"/>
      <c r="C25" s="410"/>
      <c r="D25" s="412"/>
      <c r="E25" s="412">
        <f t="shared" si="0"/>
        <v>140893.93</v>
      </c>
      <c r="F25" s="445"/>
      <c r="G25" s="413">
        <f t="shared" si="1"/>
        <v>0</v>
      </c>
      <c r="H25" s="413">
        <f t="shared" si="2"/>
        <v>140893.93</v>
      </c>
      <c r="I25" s="414"/>
    </row>
    <row r="26" spans="1:9" s="330" customFormat="1" ht="12.75" customHeight="1" x14ac:dyDescent="0.25">
      <c r="A26" s="408"/>
      <c r="B26" s="409"/>
      <c r="C26" s="410"/>
      <c r="D26" s="412"/>
      <c r="E26" s="412">
        <f t="shared" si="0"/>
        <v>140893.93</v>
      </c>
      <c r="F26" s="422"/>
      <c r="G26" s="413">
        <f t="shared" si="1"/>
        <v>0</v>
      </c>
      <c r="H26" s="413">
        <f t="shared" si="2"/>
        <v>140893.93</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54</v>
      </c>
      <c r="D28" s="426">
        <f>SUM(D9:D27)</f>
        <v>140893.93</v>
      </c>
      <c r="E28" s="426"/>
      <c r="F28" s="426">
        <f>SUM(F9:F27)</f>
        <v>0</v>
      </c>
      <c r="G28" s="426"/>
      <c r="H28" s="426">
        <f>D28-F28</f>
        <v>140893.93</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74AC-6CB8-4E23-ABA3-46C11CC0C5DF}">
  <sheetPr codeName="Sheet124">
    <pageSetUpPr fitToPage="1"/>
  </sheetPr>
  <dimension ref="A1:I51"/>
  <sheetViews>
    <sheetView tabSelected="1" topLeftCell="A3"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1674</v>
      </c>
      <c r="B4" s="126"/>
      <c r="C4" s="127"/>
      <c r="D4" s="128" t="s">
        <v>311</v>
      </c>
      <c r="E4" s="124"/>
      <c r="F4" s="124"/>
      <c r="G4" s="124"/>
      <c r="H4" s="125"/>
      <c r="I4" s="125"/>
    </row>
    <row r="5" spans="1:9" ht="15.75" x14ac:dyDescent="0.25">
      <c r="A5" s="129" t="s">
        <v>109</v>
      </c>
      <c r="B5" s="130"/>
      <c r="C5" s="131"/>
      <c r="D5" s="176" t="s">
        <v>195</v>
      </c>
      <c r="E5" s="133"/>
      <c r="F5" s="134"/>
      <c r="G5" s="134"/>
      <c r="H5" s="130"/>
      <c r="I5" s="125"/>
    </row>
    <row r="6" spans="1:9" ht="15.75" x14ac:dyDescent="0.25">
      <c r="A6" s="86" t="str">
        <f>'RECAP #9429.00 '!B6</f>
        <v>Project Manager - James T.</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1678</v>
      </c>
      <c r="B9" s="409">
        <v>46091</v>
      </c>
      <c r="C9" s="410" t="s">
        <v>107</v>
      </c>
      <c r="D9" s="411">
        <v>3029827</v>
      </c>
      <c r="E9" s="412">
        <f>D9</f>
        <v>3029827</v>
      </c>
      <c r="F9" s="413"/>
      <c r="G9" s="413"/>
      <c r="H9" s="413">
        <f>E9</f>
        <v>3029827</v>
      </c>
      <c r="I9" s="414"/>
    </row>
    <row r="10" spans="1:9" s="330" customFormat="1" ht="12.75" customHeight="1" x14ac:dyDescent="0.25">
      <c r="A10" s="408" t="s">
        <v>1771</v>
      </c>
      <c r="B10" s="240">
        <v>46126</v>
      </c>
      <c r="C10" s="410" t="s">
        <v>1772</v>
      </c>
      <c r="D10" s="412"/>
      <c r="E10" s="412">
        <f t="shared" ref="E10:E24" si="0">E9+D10</f>
        <v>3029827</v>
      </c>
      <c r="F10" s="445">
        <v>98888.11</v>
      </c>
      <c r="G10" s="413">
        <f t="shared" ref="G10:G24" si="1">G9+F10</f>
        <v>98888.11</v>
      </c>
      <c r="H10" s="413">
        <f t="shared" ref="H10:H24" si="2">H9-F10+D10</f>
        <v>2930938.89</v>
      </c>
      <c r="I10" s="414"/>
    </row>
    <row r="11" spans="1:9" s="330" customFormat="1" ht="12.75" customHeight="1" x14ac:dyDescent="0.25">
      <c r="A11" s="408"/>
      <c r="B11" s="409"/>
      <c r="C11" s="410"/>
      <c r="D11" s="412"/>
      <c r="E11" s="412">
        <f t="shared" si="0"/>
        <v>3029827</v>
      </c>
      <c r="F11" s="445"/>
      <c r="G11" s="413">
        <f t="shared" si="1"/>
        <v>98888.11</v>
      </c>
      <c r="H11" s="413">
        <f t="shared" si="2"/>
        <v>2930938.89</v>
      </c>
      <c r="I11" s="414"/>
    </row>
    <row r="12" spans="1:9" s="330" customFormat="1" ht="12.75" customHeight="1" x14ac:dyDescent="0.25">
      <c r="A12" s="408"/>
      <c r="B12" s="409"/>
      <c r="C12" s="410"/>
      <c r="D12" s="412"/>
      <c r="E12" s="412">
        <f t="shared" si="0"/>
        <v>3029827</v>
      </c>
      <c r="F12" s="445"/>
      <c r="G12" s="413">
        <f t="shared" si="1"/>
        <v>98888.11</v>
      </c>
      <c r="H12" s="413">
        <f t="shared" si="2"/>
        <v>2930938.89</v>
      </c>
      <c r="I12" s="414"/>
    </row>
    <row r="13" spans="1:9" s="330" customFormat="1" ht="12.75" customHeight="1" x14ac:dyDescent="0.25">
      <c r="A13" s="408"/>
      <c r="B13" s="409"/>
      <c r="C13" s="410"/>
      <c r="D13" s="412"/>
      <c r="E13" s="412">
        <f t="shared" si="0"/>
        <v>3029827</v>
      </c>
      <c r="F13" s="445"/>
      <c r="G13" s="413">
        <f t="shared" si="1"/>
        <v>98888.11</v>
      </c>
      <c r="H13" s="413">
        <f t="shared" si="2"/>
        <v>2930938.89</v>
      </c>
      <c r="I13" s="414"/>
    </row>
    <row r="14" spans="1:9" s="330" customFormat="1" ht="12.75" customHeight="1" x14ac:dyDescent="0.25">
      <c r="A14" s="408"/>
      <c r="B14" s="409"/>
      <c r="C14" s="410"/>
      <c r="D14" s="412"/>
      <c r="E14" s="412">
        <f t="shared" si="0"/>
        <v>3029827</v>
      </c>
      <c r="F14" s="445"/>
      <c r="G14" s="413">
        <f t="shared" si="1"/>
        <v>98888.11</v>
      </c>
      <c r="H14" s="413">
        <f t="shared" si="2"/>
        <v>2930938.89</v>
      </c>
      <c r="I14" s="448"/>
    </row>
    <row r="15" spans="1:9" s="330" customFormat="1" ht="12.75" customHeight="1" x14ac:dyDescent="0.25">
      <c r="A15" s="408"/>
      <c r="B15" s="409"/>
      <c r="C15" s="410"/>
      <c r="D15" s="494"/>
      <c r="E15" s="412">
        <f t="shared" si="0"/>
        <v>3029827</v>
      </c>
      <c r="F15" s="422"/>
      <c r="G15" s="413">
        <f t="shared" si="1"/>
        <v>98888.11</v>
      </c>
      <c r="H15" s="413">
        <f t="shared" si="2"/>
        <v>2930938.89</v>
      </c>
      <c r="I15" s="414"/>
    </row>
    <row r="16" spans="1:9" s="330" customFormat="1" ht="12.75" customHeight="1" x14ac:dyDescent="0.25">
      <c r="A16" s="408"/>
      <c r="B16" s="409"/>
      <c r="C16" s="522"/>
      <c r="D16" s="412"/>
      <c r="E16" s="412">
        <f t="shared" si="0"/>
        <v>3029827</v>
      </c>
      <c r="F16" s="445"/>
      <c r="G16" s="413">
        <f t="shared" si="1"/>
        <v>98888.11</v>
      </c>
      <c r="H16" s="413">
        <f t="shared" si="2"/>
        <v>2930938.89</v>
      </c>
      <c r="I16" s="414"/>
    </row>
    <row r="17" spans="1:9" s="330" customFormat="1" ht="12.75" customHeight="1" x14ac:dyDescent="0.25">
      <c r="A17" s="408"/>
      <c r="B17" s="409"/>
      <c r="C17" s="410"/>
      <c r="D17" s="412"/>
      <c r="E17" s="412">
        <f t="shared" si="0"/>
        <v>3029827</v>
      </c>
      <c r="F17" s="445"/>
      <c r="G17" s="413">
        <f t="shared" si="1"/>
        <v>98888.11</v>
      </c>
      <c r="H17" s="413">
        <f t="shared" si="2"/>
        <v>2930938.89</v>
      </c>
      <c r="I17" s="414"/>
    </row>
    <row r="18" spans="1:9" s="330" customFormat="1" ht="12.75" customHeight="1" x14ac:dyDescent="0.25">
      <c r="A18" s="408"/>
      <c r="B18" s="409"/>
      <c r="C18" s="410"/>
      <c r="D18" s="412"/>
      <c r="E18" s="412">
        <f t="shared" si="0"/>
        <v>3029827</v>
      </c>
      <c r="F18" s="445"/>
      <c r="G18" s="413">
        <f t="shared" si="1"/>
        <v>98888.11</v>
      </c>
      <c r="H18" s="413">
        <f t="shared" si="2"/>
        <v>2930938.89</v>
      </c>
      <c r="I18" s="414"/>
    </row>
    <row r="19" spans="1:9" s="330" customFormat="1" ht="12.75" customHeight="1" x14ac:dyDescent="0.25">
      <c r="A19" s="408"/>
      <c r="B19" s="409"/>
      <c r="C19" s="410"/>
      <c r="D19" s="412"/>
      <c r="E19" s="412">
        <f t="shared" si="0"/>
        <v>3029827</v>
      </c>
      <c r="F19" s="445"/>
      <c r="G19" s="413">
        <f t="shared" si="1"/>
        <v>98888.11</v>
      </c>
      <c r="H19" s="413">
        <f t="shared" si="2"/>
        <v>2930938.89</v>
      </c>
      <c r="I19" s="414"/>
    </row>
    <row r="20" spans="1:9" s="330" customFormat="1" ht="12.75" customHeight="1" x14ac:dyDescent="0.25">
      <c r="A20" s="408"/>
      <c r="B20" s="409"/>
      <c r="C20" s="410"/>
      <c r="D20" s="412"/>
      <c r="E20" s="412">
        <f t="shared" si="0"/>
        <v>3029827</v>
      </c>
      <c r="F20" s="445"/>
      <c r="G20" s="413">
        <f t="shared" si="1"/>
        <v>98888.11</v>
      </c>
      <c r="H20" s="413">
        <f t="shared" si="2"/>
        <v>2930938.89</v>
      </c>
      <c r="I20" s="414"/>
    </row>
    <row r="21" spans="1:9" s="330" customFormat="1" ht="12.75" customHeight="1" x14ac:dyDescent="0.25">
      <c r="A21" s="408"/>
      <c r="B21" s="409"/>
      <c r="C21" s="410"/>
      <c r="D21" s="412"/>
      <c r="E21" s="412">
        <f t="shared" si="0"/>
        <v>3029827</v>
      </c>
      <c r="F21" s="445"/>
      <c r="G21" s="413">
        <f t="shared" si="1"/>
        <v>98888.11</v>
      </c>
      <c r="H21" s="413">
        <f t="shared" si="2"/>
        <v>2930938.89</v>
      </c>
      <c r="I21" s="414"/>
    </row>
    <row r="22" spans="1:9" s="330" customFormat="1" ht="12.75" customHeight="1" x14ac:dyDescent="0.25">
      <c r="A22" s="408"/>
      <c r="B22" s="409"/>
      <c r="C22" s="410"/>
      <c r="D22" s="412"/>
      <c r="E22" s="412">
        <f t="shared" si="0"/>
        <v>3029827</v>
      </c>
      <c r="F22" s="422"/>
      <c r="G22" s="413">
        <f t="shared" si="1"/>
        <v>98888.11</v>
      </c>
      <c r="H22" s="413">
        <f t="shared" si="2"/>
        <v>2930938.89</v>
      </c>
      <c r="I22" s="414"/>
    </row>
    <row r="23" spans="1:9" s="330" customFormat="1" ht="12.75" customHeight="1" x14ac:dyDescent="0.25">
      <c r="A23" s="408"/>
      <c r="B23" s="409"/>
      <c r="C23" s="410"/>
      <c r="D23" s="412"/>
      <c r="E23" s="412">
        <f t="shared" si="0"/>
        <v>3029827</v>
      </c>
      <c r="F23" s="445"/>
      <c r="G23" s="413">
        <f t="shared" si="1"/>
        <v>98888.11</v>
      </c>
      <c r="H23" s="413">
        <f t="shared" si="2"/>
        <v>2930938.89</v>
      </c>
      <c r="I23" s="414"/>
    </row>
    <row r="24" spans="1:9" s="330" customFormat="1" ht="12.75" customHeight="1" x14ac:dyDescent="0.25">
      <c r="A24" s="408"/>
      <c r="B24" s="409"/>
      <c r="C24" s="410"/>
      <c r="D24" s="412"/>
      <c r="E24" s="412">
        <f t="shared" si="0"/>
        <v>3029827</v>
      </c>
      <c r="F24" s="445"/>
      <c r="G24" s="413">
        <f t="shared" si="1"/>
        <v>98888.11</v>
      </c>
      <c r="H24" s="413">
        <f t="shared" si="2"/>
        <v>2930938.89</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54</v>
      </c>
      <c r="D26" s="426">
        <f>SUM(D9:D25)</f>
        <v>3029827</v>
      </c>
      <c r="E26" s="426"/>
      <c r="F26" s="426">
        <f>SUM(F9:F25)</f>
        <v>98888.11</v>
      </c>
      <c r="G26" s="426"/>
      <c r="H26" s="426">
        <f>D26-F26</f>
        <v>2930938.89</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t="s">
        <v>1675</v>
      </c>
      <c r="D29" s="413">
        <v>1744157</v>
      </c>
      <c r="E29" s="413"/>
      <c r="F29" s="413">
        <f>89945.68</f>
        <v>89945.68</v>
      </c>
      <c r="G29" s="413"/>
      <c r="H29" s="413">
        <f>D29-F29</f>
        <v>1654211.32</v>
      </c>
      <c r="I29" s="414"/>
    </row>
    <row r="30" spans="1:9" s="330" customFormat="1" ht="12.75" customHeight="1" x14ac:dyDescent="0.25">
      <c r="A30" s="408"/>
      <c r="B30" s="410"/>
      <c r="C30" s="425" t="s">
        <v>797</v>
      </c>
      <c r="D30" s="413">
        <v>163280</v>
      </c>
      <c r="E30" s="413"/>
      <c r="F30" s="413">
        <f>2075.96</f>
        <v>2075.96</v>
      </c>
      <c r="G30" s="413"/>
      <c r="H30" s="413">
        <f>D30-F30</f>
        <v>161204.04</v>
      </c>
      <c r="I30" s="414"/>
    </row>
    <row r="31" spans="1:9" s="330" customFormat="1" ht="12.75" customHeight="1" x14ac:dyDescent="0.25">
      <c r="A31" s="408"/>
      <c r="B31" s="410"/>
      <c r="C31" s="425" t="s">
        <v>1676</v>
      </c>
      <c r="D31" s="413">
        <v>333397</v>
      </c>
      <c r="E31" s="413"/>
      <c r="F31" s="413">
        <f>3951.47</f>
        <v>3951.47</v>
      </c>
      <c r="G31" s="413"/>
      <c r="H31" s="413">
        <f>D31-F31</f>
        <v>329445.53000000003</v>
      </c>
      <c r="I31" s="414"/>
    </row>
    <row r="32" spans="1:9" s="330" customFormat="1" ht="12.75" customHeight="1" x14ac:dyDescent="0.25">
      <c r="A32" s="408"/>
      <c r="B32" s="410"/>
      <c r="C32" s="425" t="s">
        <v>1677</v>
      </c>
      <c r="D32" s="413">
        <v>788993</v>
      </c>
      <c r="E32" s="413"/>
      <c r="F32" s="413">
        <f>2915</f>
        <v>2915</v>
      </c>
      <c r="G32" s="413"/>
      <c r="H32" s="413">
        <f>D32-F32</f>
        <v>786078</v>
      </c>
      <c r="I32" s="414"/>
    </row>
    <row r="33" spans="1:9" s="330" customFormat="1" ht="12.75" customHeight="1" thickBot="1" x14ac:dyDescent="0.3">
      <c r="A33" s="408"/>
      <c r="B33" s="410"/>
      <c r="C33" s="424" t="s">
        <v>555</v>
      </c>
      <c r="D33" s="426">
        <f>SUM(D29:D32)</f>
        <v>3029827</v>
      </c>
      <c r="E33" s="427"/>
      <c r="F33" s="426">
        <f>SUM(F29:F32)</f>
        <v>98888.11</v>
      </c>
      <c r="G33" s="427"/>
      <c r="H33" s="426">
        <f>SUM(H29:H32)</f>
        <v>2930938.89</v>
      </c>
      <c r="I33" s="414"/>
    </row>
    <row r="34" spans="1:9" s="330" customFormat="1" ht="12.75" customHeight="1" thickTop="1" x14ac:dyDescent="0.25"/>
    <row r="35" spans="1:9" s="330" customFormat="1" ht="12.75" customHeight="1" x14ac:dyDescent="0.25"/>
    <row r="36" spans="1:9" s="330" customFormat="1" ht="12.75" customHeight="1" x14ac:dyDescent="0.25"/>
    <row r="37" spans="1:9" s="330" customFormat="1" ht="12.75" customHeight="1" x14ac:dyDescent="0.25"/>
    <row r="38" spans="1:9" s="330" customFormat="1" ht="12.75" customHeight="1" x14ac:dyDescent="0.25"/>
    <row r="39" spans="1:9" s="330" customFormat="1" ht="12.75" customHeight="1" x14ac:dyDescent="0.25"/>
    <row r="40" spans="1:9" s="330" customFormat="1" ht="12.75" customHeight="1" x14ac:dyDescent="0.25"/>
    <row r="41" spans="1:9" s="330" customFormat="1" ht="12.75" customHeight="1" x14ac:dyDescent="0.25"/>
    <row r="42" spans="1:9" s="330" customFormat="1" ht="12.75" customHeight="1" x14ac:dyDescent="0.25"/>
    <row r="43" spans="1:9" s="330" customFormat="1" ht="12.75" customHeight="1" x14ac:dyDescent="0.25"/>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66A2-CA4A-48E9-9F81-A630F906030F}">
  <sheetPr codeName="Sheet125">
    <pageSetUpPr fitToPage="1"/>
  </sheetPr>
  <dimension ref="A1:I5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1736</v>
      </c>
      <c r="B4" s="126"/>
      <c r="C4" s="127"/>
      <c r="D4" s="128" t="s">
        <v>704</v>
      </c>
      <c r="E4" s="124"/>
      <c r="F4" s="124"/>
      <c r="G4" s="124"/>
      <c r="H4" s="125"/>
      <c r="I4" s="125"/>
    </row>
    <row r="5" spans="1:9" ht="15.75" x14ac:dyDescent="0.25">
      <c r="A5" s="129" t="s">
        <v>109</v>
      </c>
      <c r="B5" s="130"/>
      <c r="C5" s="131"/>
      <c r="D5" s="176" t="s">
        <v>701</v>
      </c>
      <c r="E5" s="133"/>
      <c r="F5" s="134"/>
      <c r="G5" s="134"/>
      <c r="H5" s="130"/>
      <c r="I5" s="125"/>
    </row>
    <row r="6" spans="1:9" ht="15.75" x14ac:dyDescent="0.25">
      <c r="A6" s="86" t="str">
        <f>'RECAP #9429.00 '!B6</f>
        <v>Project Manager - James T.</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1729</v>
      </c>
      <c r="B9" s="409">
        <v>46112</v>
      </c>
      <c r="C9" s="410" t="s">
        <v>107</v>
      </c>
      <c r="D9" s="411">
        <v>40885</v>
      </c>
      <c r="E9" s="412">
        <f>D9</f>
        <v>40885</v>
      </c>
      <c r="F9" s="413"/>
      <c r="G9" s="413"/>
      <c r="H9" s="413">
        <f>E9</f>
        <v>40885</v>
      </c>
      <c r="I9" s="414"/>
    </row>
    <row r="10" spans="1:9" s="330" customFormat="1" ht="12.75" customHeight="1" x14ac:dyDescent="0.25">
      <c r="A10" s="408"/>
      <c r="B10" s="240"/>
      <c r="C10" s="410"/>
      <c r="D10" s="412"/>
      <c r="E10" s="412">
        <f t="shared" ref="E10:E24" si="0">E9+D10</f>
        <v>40885</v>
      </c>
      <c r="F10" s="445"/>
      <c r="G10" s="413">
        <f t="shared" ref="G10:G24" si="1">G9+F10</f>
        <v>0</v>
      </c>
      <c r="H10" s="413">
        <f t="shared" ref="H10:H24" si="2">H9-F10+D10</f>
        <v>40885</v>
      </c>
      <c r="I10" s="414"/>
    </row>
    <row r="11" spans="1:9" s="330" customFormat="1" ht="12.75" customHeight="1" x14ac:dyDescent="0.25">
      <c r="A11" s="408"/>
      <c r="B11" s="409"/>
      <c r="C11" s="410"/>
      <c r="D11" s="412"/>
      <c r="E11" s="412">
        <f t="shared" si="0"/>
        <v>40885</v>
      </c>
      <c r="F11" s="445"/>
      <c r="G11" s="413">
        <f t="shared" si="1"/>
        <v>0</v>
      </c>
      <c r="H11" s="413">
        <f t="shared" si="2"/>
        <v>40885</v>
      </c>
      <c r="I11" s="414"/>
    </row>
    <row r="12" spans="1:9" s="330" customFormat="1" ht="12.75" customHeight="1" x14ac:dyDescent="0.25">
      <c r="A12" s="408"/>
      <c r="B12" s="409"/>
      <c r="C12" s="410"/>
      <c r="D12" s="412"/>
      <c r="E12" s="412">
        <f t="shared" si="0"/>
        <v>40885</v>
      </c>
      <c r="F12" s="445"/>
      <c r="G12" s="413">
        <f t="shared" si="1"/>
        <v>0</v>
      </c>
      <c r="H12" s="413">
        <f t="shared" si="2"/>
        <v>40885</v>
      </c>
      <c r="I12" s="414"/>
    </row>
    <row r="13" spans="1:9" s="330" customFormat="1" ht="12.75" customHeight="1" x14ac:dyDescent="0.25">
      <c r="A13" s="408"/>
      <c r="B13" s="409"/>
      <c r="C13" s="410"/>
      <c r="D13" s="412"/>
      <c r="E13" s="412">
        <f t="shared" si="0"/>
        <v>40885</v>
      </c>
      <c r="F13" s="445"/>
      <c r="G13" s="413">
        <f t="shared" si="1"/>
        <v>0</v>
      </c>
      <c r="H13" s="413">
        <f t="shared" si="2"/>
        <v>40885</v>
      </c>
      <c r="I13" s="414"/>
    </row>
    <row r="14" spans="1:9" s="330" customFormat="1" ht="12.75" customHeight="1" x14ac:dyDescent="0.25">
      <c r="A14" s="408"/>
      <c r="B14" s="409"/>
      <c r="C14" s="410"/>
      <c r="D14" s="412"/>
      <c r="E14" s="412">
        <f t="shared" si="0"/>
        <v>40885</v>
      </c>
      <c r="F14" s="445"/>
      <c r="G14" s="413">
        <f t="shared" si="1"/>
        <v>0</v>
      </c>
      <c r="H14" s="413">
        <f t="shared" si="2"/>
        <v>40885</v>
      </c>
      <c r="I14" s="448"/>
    </row>
    <row r="15" spans="1:9" s="330" customFormat="1" ht="12.75" customHeight="1" x14ac:dyDescent="0.25">
      <c r="A15" s="408"/>
      <c r="B15" s="409"/>
      <c r="C15" s="410"/>
      <c r="D15" s="494"/>
      <c r="E15" s="412">
        <f t="shared" si="0"/>
        <v>40885</v>
      </c>
      <c r="F15" s="422"/>
      <c r="G15" s="413">
        <f t="shared" si="1"/>
        <v>0</v>
      </c>
      <c r="H15" s="413">
        <f t="shared" si="2"/>
        <v>40885</v>
      </c>
      <c r="I15" s="414"/>
    </row>
    <row r="16" spans="1:9" s="330" customFormat="1" ht="12.75" customHeight="1" x14ac:dyDescent="0.25">
      <c r="A16" s="408"/>
      <c r="B16" s="409"/>
      <c r="C16" s="522"/>
      <c r="D16" s="412"/>
      <c r="E16" s="412">
        <f t="shared" si="0"/>
        <v>40885</v>
      </c>
      <c r="F16" s="445"/>
      <c r="G16" s="413">
        <f t="shared" si="1"/>
        <v>0</v>
      </c>
      <c r="H16" s="413">
        <f t="shared" si="2"/>
        <v>40885</v>
      </c>
      <c r="I16" s="414"/>
    </row>
    <row r="17" spans="1:9" s="330" customFormat="1" ht="12.75" customHeight="1" x14ac:dyDescent="0.25">
      <c r="A17" s="408"/>
      <c r="B17" s="409"/>
      <c r="C17" s="410"/>
      <c r="D17" s="412"/>
      <c r="E17" s="412">
        <f t="shared" si="0"/>
        <v>40885</v>
      </c>
      <c r="F17" s="445"/>
      <c r="G17" s="413">
        <f t="shared" si="1"/>
        <v>0</v>
      </c>
      <c r="H17" s="413">
        <f t="shared" si="2"/>
        <v>40885</v>
      </c>
      <c r="I17" s="414"/>
    </row>
    <row r="18" spans="1:9" s="330" customFormat="1" ht="12.75" customHeight="1" x14ac:dyDescent="0.25">
      <c r="A18" s="408"/>
      <c r="B18" s="409"/>
      <c r="C18" s="410"/>
      <c r="D18" s="412"/>
      <c r="E18" s="412">
        <f t="shared" si="0"/>
        <v>40885</v>
      </c>
      <c r="F18" s="445"/>
      <c r="G18" s="413">
        <f t="shared" si="1"/>
        <v>0</v>
      </c>
      <c r="H18" s="413">
        <f t="shared" si="2"/>
        <v>40885</v>
      </c>
      <c r="I18" s="414"/>
    </row>
    <row r="19" spans="1:9" s="330" customFormat="1" ht="12.75" customHeight="1" x14ac:dyDescent="0.25">
      <c r="A19" s="408"/>
      <c r="B19" s="409"/>
      <c r="C19" s="410"/>
      <c r="D19" s="412"/>
      <c r="E19" s="412">
        <f t="shared" si="0"/>
        <v>40885</v>
      </c>
      <c r="F19" s="445"/>
      <c r="G19" s="413">
        <f t="shared" si="1"/>
        <v>0</v>
      </c>
      <c r="H19" s="413">
        <f t="shared" si="2"/>
        <v>40885</v>
      </c>
      <c r="I19" s="414"/>
    </row>
    <row r="20" spans="1:9" s="330" customFormat="1" ht="12.75" customHeight="1" x14ac:dyDescent="0.25">
      <c r="A20" s="408"/>
      <c r="B20" s="409"/>
      <c r="C20" s="410"/>
      <c r="D20" s="412"/>
      <c r="E20" s="412">
        <f t="shared" si="0"/>
        <v>40885</v>
      </c>
      <c r="F20" s="445"/>
      <c r="G20" s="413">
        <f t="shared" si="1"/>
        <v>0</v>
      </c>
      <c r="H20" s="413">
        <f t="shared" si="2"/>
        <v>40885</v>
      </c>
      <c r="I20" s="414"/>
    </row>
    <row r="21" spans="1:9" s="330" customFormat="1" ht="12.75" customHeight="1" x14ac:dyDescent="0.25">
      <c r="A21" s="408"/>
      <c r="B21" s="409"/>
      <c r="C21" s="410"/>
      <c r="D21" s="412"/>
      <c r="E21" s="412">
        <f t="shared" si="0"/>
        <v>40885</v>
      </c>
      <c r="F21" s="445"/>
      <c r="G21" s="413">
        <f t="shared" si="1"/>
        <v>0</v>
      </c>
      <c r="H21" s="413">
        <f t="shared" si="2"/>
        <v>40885</v>
      </c>
      <c r="I21" s="414"/>
    </row>
    <row r="22" spans="1:9" s="330" customFormat="1" ht="12.75" customHeight="1" x14ac:dyDescent="0.25">
      <c r="A22" s="408"/>
      <c r="B22" s="409"/>
      <c r="C22" s="410"/>
      <c r="D22" s="412"/>
      <c r="E22" s="412">
        <f t="shared" si="0"/>
        <v>40885</v>
      </c>
      <c r="F22" s="422"/>
      <c r="G22" s="413">
        <f t="shared" si="1"/>
        <v>0</v>
      </c>
      <c r="H22" s="413">
        <f t="shared" si="2"/>
        <v>40885</v>
      </c>
      <c r="I22" s="414"/>
    </row>
    <row r="23" spans="1:9" s="330" customFormat="1" ht="12.75" customHeight="1" x14ac:dyDescent="0.25">
      <c r="A23" s="408"/>
      <c r="B23" s="409"/>
      <c r="C23" s="410"/>
      <c r="D23" s="412"/>
      <c r="E23" s="412">
        <f t="shared" si="0"/>
        <v>40885</v>
      </c>
      <c r="F23" s="445"/>
      <c r="G23" s="413">
        <f t="shared" si="1"/>
        <v>0</v>
      </c>
      <c r="H23" s="413">
        <f t="shared" si="2"/>
        <v>40885</v>
      </c>
      <c r="I23" s="414"/>
    </row>
    <row r="24" spans="1:9" s="330" customFormat="1" ht="12.75" customHeight="1" x14ac:dyDescent="0.25">
      <c r="A24" s="408"/>
      <c r="B24" s="409"/>
      <c r="C24" s="410"/>
      <c r="D24" s="412"/>
      <c r="E24" s="412">
        <f t="shared" si="0"/>
        <v>40885</v>
      </c>
      <c r="F24" s="445"/>
      <c r="G24" s="413">
        <f t="shared" si="1"/>
        <v>0</v>
      </c>
      <c r="H24" s="413">
        <f t="shared" si="2"/>
        <v>40885</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54</v>
      </c>
      <c r="D26" s="426">
        <f>SUM(D9:D25)</f>
        <v>40885</v>
      </c>
      <c r="E26" s="426"/>
      <c r="F26" s="426">
        <f>SUM(F9:F25)</f>
        <v>0</v>
      </c>
      <c r="G26" s="426"/>
      <c r="H26" s="426">
        <f>D26-F26</f>
        <v>40885</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t="s">
        <v>1730</v>
      </c>
      <c r="D29" s="413">
        <v>4800</v>
      </c>
      <c r="E29" s="413"/>
      <c r="F29" s="413"/>
      <c r="G29" s="413"/>
      <c r="H29" s="413">
        <f t="shared" ref="H29:H34" si="3">D29-F29</f>
        <v>4800</v>
      </c>
      <c r="I29" s="414"/>
    </row>
    <row r="30" spans="1:9" s="330" customFormat="1" ht="12.75" customHeight="1" x14ac:dyDescent="0.25">
      <c r="A30" s="408"/>
      <c r="B30" s="410"/>
      <c r="C30" s="425" t="s">
        <v>1731</v>
      </c>
      <c r="D30" s="413">
        <v>2110</v>
      </c>
      <c r="E30" s="413"/>
      <c r="F30" s="413"/>
      <c r="G30" s="413"/>
      <c r="H30" s="413">
        <f t="shared" si="3"/>
        <v>2110</v>
      </c>
      <c r="I30" s="414"/>
    </row>
    <row r="31" spans="1:9" s="330" customFormat="1" ht="12.75" customHeight="1" x14ac:dyDescent="0.25">
      <c r="A31" s="408"/>
      <c r="B31" s="410"/>
      <c r="C31" s="425" t="s">
        <v>1732</v>
      </c>
      <c r="D31" s="413">
        <v>3250</v>
      </c>
      <c r="E31" s="413"/>
      <c r="F31" s="413"/>
      <c r="G31" s="413"/>
      <c r="H31" s="413">
        <f t="shared" si="3"/>
        <v>3250</v>
      </c>
      <c r="I31" s="414"/>
    </row>
    <row r="32" spans="1:9" s="330" customFormat="1" ht="12.75" customHeight="1" x14ac:dyDescent="0.25">
      <c r="A32" s="408"/>
      <c r="B32" s="410"/>
      <c r="C32" s="425" t="s">
        <v>1733</v>
      </c>
      <c r="D32" s="413">
        <v>9310</v>
      </c>
      <c r="E32" s="413"/>
      <c r="F32" s="413"/>
      <c r="G32" s="413"/>
      <c r="H32" s="413">
        <f t="shared" si="3"/>
        <v>9310</v>
      </c>
      <c r="I32" s="414"/>
    </row>
    <row r="33" spans="1:9" s="330" customFormat="1" ht="12.75" customHeight="1" x14ac:dyDescent="0.25">
      <c r="A33" s="408"/>
      <c r="B33" s="410"/>
      <c r="C33" s="425" t="s">
        <v>1734</v>
      </c>
      <c r="D33" s="413">
        <v>940</v>
      </c>
      <c r="E33" s="413"/>
      <c r="F33" s="413"/>
      <c r="G33" s="413"/>
      <c r="H33" s="413">
        <f t="shared" si="3"/>
        <v>940</v>
      </c>
      <c r="I33" s="414"/>
    </row>
    <row r="34" spans="1:9" s="330" customFormat="1" ht="12.75" customHeight="1" x14ac:dyDescent="0.25">
      <c r="A34" s="408"/>
      <c r="B34" s="410"/>
      <c r="C34" s="425" t="s">
        <v>1735</v>
      </c>
      <c r="D34" s="413">
        <v>20475</v>
      </c>
      <c r="E34" s="413"/>
      <c r="F34" s="413"/>
      <c r="G34" s="413"/>
      <c r="H34" s="413">
        <f t="shared" si="3"/>
        <v>20475</v>
      </c>
      <c r="I34" s="414"/>
    </row>
    <row r="35" spans="1:9" s="330" customFormat="1" ht="12.75" customHeight="1" thickBot="1" x14ac:dyDescent="0.3">
      <c r="A35" s="408"/>
      <c r="B35" s="410"/>
      <c r="C35" s="424" t="s">
        <v>555</v>
      </c>
      <c r="D35" s="426">
        <f>SUM(D29:D34)</f>
        <v>40885</v>
      </c>
      <c r="E35" s="427"/>
      <c r="F35" s="426">
        <f>SUM(F29:F34)</f>
        <v>0</v>
      </c>
      <c r="G35" s="427"/>
      <c r="H35" s="426">
        <f>SUM(H29:H34)</f>
        <v>40885</v>
      </c>
      <c r="I35" s="414"/>
    </row>
    <row r="36" spans="1:9" s="330" customFormat="1" ht="12.75" customHeight="1" thickTop="1" x14ac:dyDescent="0.25"/>
    <row r="37" spans="1:9" s="330" customFormat="1" ht="12.75" customHeight="1" x14ac:dyDescent="0.25"/>
    <row r="38" spans="1:9" s="330" customFormat="1" ht="12.75" customHeight="1" x14ac:dyDescent="0.25"/>
    <row r="39" spans="1:9" s="330" customFormat="1" ht="12.75" customHeight="1" x14ac:dyDescent="0.25"/>
    <row r="40" spans="1:9" s="330" customFormat="1" ht="12.75" customHeight="1" x14ac:dyDescent="0.25"/>
    <row r="41" spans="1:9" s="330" customFormat="1" ht="12.75" customHeight="1" x14ac:dyDescent="0.25"/>
    <row r="42" spans="1:9" s="330" customFormat="1" ht="12.75" customHeight="1" x14ac:dyDescent="0.25"/>
    <row r="43" spans="1:9" s="330" customFormat="1" ht="12.75" customHeight="1" x14ac:dyDescent="0.25"/>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0C02-EECD-4319-9826-900C76CD5DBB}">
  <sheetPr codeName="Sheet126">
    <pageSetUpPr fitToPage="1"/>
  </sheetPr>
  <dimension ref="A1:I5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1774</v>
      </c>
      <c r="B4" s="126"/>
      <c r="C4" s="127"/>
      <c r="D4" s="128" t="s">
        <v>1775</v>
      </c>
      <c r="E4" s="124"/>
      <c r="F4" s="124"/>
      <c r="G4" s="124"/>
      <c r="H4" s="125"/>
      <c r="I4" s="125"/>
    </row>
    <row r="5" spans="1:9" ht="15.75" x14ac:dyDescent="0.25">
      <c r="A5" s="129" t="s">
        <v>109</v>
      </c>
      <c r="B5" s="130"/>
      <c r="C5" s="131"/>
      <c r="D5" s="176" t="s">
        <v>1776</v>
      </c>
      <c r="E5" s="133"/>
      <c r="F5" s="134"/>
      <c r="G5" s="134"/>
      <c r="H5" s="130"/>
      <c r="I5" s="125"/>
    </row>
    <row r="6" spans="1:9" ht="15.75" x14ac:dyDescent="0.25">
      <c r="A6" s="86" t="str">
        <f>'RECAP #9429.00 '!B6</f>
        <v>Project Manager - James T.</v>
      </c>
      <c r="B6" s="86"/>
      <c r="C6" s="135"/>
      <c r="D6" s="136" t="s">
        <v>810</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1777</v>
      </c>
      <c r="B9" s="409">
        <v>46126</v>
      </c>
      <c r="C9" s="410" t="s">
        <v>107</v>
      </c>
      <c r="D9" s="411">
        <v>209612.28</v>
      </c>
      <c r="E9" s="412">
        <f>D9</f>
        <v>209612.28</v>
      </c>
      <c r="F9" s="413"/>
      <c r="G9" s="413"/>
      <c r="H9" s="413">
        <f>E9</f>
        <v>209612.28</v>
      </c>
      <c r="I9" s="414"/>
    </row>
    <row r="10" spans="1:9" s="330" customFormat="1" ht="12.75" customHeight="1" x14ac:dyDescent="0.25">
      <c r="A10" s="408"/>
      <c r="B10" s="240"/>
      <c r="C10" s="410"/>
      <c r="D10" s="412"/>
      <c r="E10" s="412">
        <f t="shared" ref="E10:E24" si="0">E9+D10</f>
        <v>209612.28</v>
      </c>
      <c r="F10" s="445"/>
      <c r="G10" s="413">
        <f t="shared" ref="G10:G24" si="1">G9+F10</f>
        <v>0</v>
      </c>
      <c r="H10" s="413">
        <f t="shared" ref="H10:H24" si="2">H9-F10+D10</f>
        <v>209612.28</v>
      </c>
      <c r="I10" s="414"/>
    </row>
    <row r="11" spans="1:9" s="330" customFormat="1" ht="12.75" customHeight="1" x14ac:dyDescent="0.25">
      <c r="A11" s="408"/>
      <c r="B11" s="409"/>
      <c r="C11" s="410"/>
      <c r="D11" s="412"/>
      <c r="E11" s="412">
        <f t="shared" si="0"/>
        <v>209612.28</v>
      </c>
      <c r="F11" s="445"/>
      <c r="G11" s="413">
        <f t="shared" si="1"/>
        <v>0</v>
      </c>
      <c r="H11" s="413">
        <f t="shared" si="2"/>
        <v>209612.28</v>
      </c>
      <c r="I11" s="414"/>
    </row>
    <row r="12" spans="1:9" s="330" customFormat="1" ht="12.75" customHeight="1" x14ac:dyDescent="0.25">
      <c r="A12" s="408"/>
      <c r="B12" s="409"/>
      <c r="C12" s="410"/>
      <c r="D12" s="412"/>
      <c r="E12" s="412">
        <f t="shared" si="0"/>
        <v>209612.28</v>
      </c>
      <c r="F12" s="445"/>
      <c r="G12" s="413">
        <f t="shared" si="1"/>
        <v>0</v>
      </c>
      <c r="H12" s="413">
        <f t="shared" si="2"/>
        <v>209612.28</v>
      </c>
      <c r="I12" s="414"/>
    </row>
    <row r="13" spans="1:9" s="330" customFormat="1" ht="12.75" customHeight="1" x14ac:dyDescent="0.25">
      <c r="A13" s="408"/>
      <c r="B13" s="409"/>
      <c r="C13" s="410"/>
      <c r="D13" s="412"/>
      <c r="E13" s="412">
        <f t="shared" si="0"/>
        <v>209612.28</v>
      </c>
      <c r="F13" s="445"/>
      <c r="G13" s="413">
        <f t="shared" si="1"/>
        <v>0</v>
      </c>
      <c r="H13" s="413">
        <f t="shared" si="2"/>
        <v>209612.28</v>
      </c>
      <c r="I13" s="414"/>
    </row>
    <row r="14" spans="1:9" s="330" customFormat="1" ht="12.75" customHeight="1" x14ac:dyDescent="0.25">
      <c r="A14" s="408"/>
      <c r="B14" s="409"/>
      <c r="C14" s="410"/>
      <c r="D14" s="412"/>
      <c r="E14" s="412">
        <f t="shared" si="0"/>
        <v>209612.28</v>
      </c>
      <c r="F14" s="445"/>
      <c r="G14" s="413">
        <f t="shared" si="1"/>
        <v>0</v>
      </c>
      <c r="H14" s="413">
        <f t="shared" si="2"/>
        <v>209612.28</v>
      </c>
      <c r="I14" s="448"/>
    </row>
    <row r="15" spans="1:9" s="330" customFormat="1" ht="12.75" customHeight="1" x14ac:dyDescent="0.25">
      <c r="A15" s="408"/>
      <c r="B15" s="409"/>
      <c r="C15" s="410"/>
      <c r="D15" s="494"/>
      <c r="E15" s="412">
        <f t="shared" si="0"/>
        <v>209612.28</v>
      </c>
      <c r="F15" s="422"/>
      <c r="G15" s="413">
        <f t="shared" si="1"/>
        <v>0</v>
      </c>
      <c r="H15" s="413">
        <f t="shared" si="2"/>
        <v>209612.28</v>
      </c>
      <c r="I15" s="414"/>
    </row>
    <row r="16" spans="1:9" s="330" customFormat="1" ht="12.75" customHeight="1" x14ac:dyDescent="0.25">
      <c r="A16" s="408"/>
      <c r="B16" s="409"/>
      <c r="C16" s="522"/>
      <c r="D16" s="412"/>
      <c r="E16" s="412">
        <f t="shared" si="0"/>
        <v>209612.28</v>
      </c>
      <c r="F16" s="445"/>
      <c r="G16" s="413">
        <f t="shared" si="1"/>
        <v>0</v>
      </c>
      <c r="H16" s="413">
        <f t="shared" si="2"/>
        <v>209612.28</v>
      </c>
      <c r="I16" s="414"/>
    </row>
    <row r="17" spans="1:9" s="330" customFormat="1" ht="12.75" customHeight="1" x14ac:dyDescent="0.25">
      <c r="A17" s="408"/>
      <c r="B17" s="409"/>
      <c r="C17" s="410"/>
      <c r="D17" s="412"/>
      <c r="E17" s="412">
        <f t="shared" si="0"/>
        <v>209612.28</v>
      </c>
      <c r="F17" s="445"/>
      <c r="G17" s="413">
        <f t="shared" si="1"/>
        <v>0</v>
      </c>
      <c r="H17" s="413">
        <f t="shared" si="2"/>
        <v>209612.28</v>
      </c>
      <c r="I17" s="414"/>
    </row>
    <row r="18" spans="1:9" s="330" customFormat="1" ht="12.75" customHeight="1" x14ac:dyDescent="0.25">
      <c r="A18" s="408"/>
      <c r="B18" s="409"/>
      <c r="C18" s="410"/>
      <c r="D18" s="412"/>
      <c r="E18" s="412">
        <f t="shared" si="0"/>
        <v>209612.28</v>
      </c>
      <c r="F18" s="445"/>
      <c r="G18" s="413">
        <f t="shared" si="1"/>
        <v>0</v>
      </c>
      <c r="H18" s="413">
        <f t="shared" si="2"/>
        <v>209612.28</v>
      </c>
      <c r="I18" s="414"/>
    </row>
    <row r="19" spans="1:9" s="330" customFormat="1" ht="12.75" customHeight="1" x14ac:dyDescent="0.25">
      <c r="A19" s="408"/>
      <c r="B19" s="409"/>
      <c r="C19" s="410"/>
      <c r="D19" s="412"/>
      <c r="E19" s="412">
        <f t="shared" si="0"/>
        <v>209612.28</v>
      </c>
      <c r="F19" s="445"/>
      <c r="G19" s="413">
        <f t="shared" si="1"/>
        <v>0</v>
      </c>
      <c r="H19" s="413">
        <f t="shared" si="2"/>
        <v>209612.28</v>
      </c>
      <c r="I19" s="414"/>
    </row>
    <row r="20" spans="1:9" s="330" customFormat="1" ht="12.75" customHeight="1" x14ac:dyDescent="0.25">
      <c r="A20" s="408"/>
      <c r="B20" s="409"/>
      <c r="C20" s="410"/>
      <c r="D20" s="412"/>
      <c r="E20" s="412">
        <f t="shared" si="0"/>
        <v>209612.28</v>
      </c>
      <c r="F20" s="445"/>
      <c r="G20" s="413">
        <f t="shared" si="1"/>
        <v>0</v>
      </c>
      <c r="H20" s="413">
        <f t="shared" si="2"/>
        <v>209612.28</v>
      </c>
      <c r="I20" s="414"/>
    </row>
    <row r="21" spans="1:9" s="330" customFormat="1" ht="12.75" customHeight="1" x14ac:dyDescent="0.25">
      <c r="A21" s="408"/>
      <c r="B21" s="409"/>
      <c r="C21" s="410"/>
      <c r="D21" s="412"/>
      <c r="E21" s="412">
        <f t="shared" si="0"/>
        <v>209612.28</v>
      </c>
      <c r="F21" s="445"/>
      <c r="G21" s="413">
        <f t="shared" si="1"/>
        <v>0</v>
      </c>
      <c r="H21" s="413">
        <f t="shared" si="2"/>
        <v>209612.28</v>
      </c>
      <c r="I21" s="414"/>
    </row>
    <row r="22" spans="1:9" s="330" customFormat="1" ht="12.75" customHeight="1" x14ac:dyDescent="0.25">
      <c r="A22" s="408"/>
      <c r="B22" s="409"/>
      <c r="C22" s="410"/>
      <c r="D22" s="412"/>
      <c r="E22" s="412">
        <f t="shared" si="0"/>
        <v>209612.28</v>
      </c>
      <c r="F22" s="422"/>
      <c r="G22" s="413">
        <f t="shared" si="1"/>
        <v>0</v>
      </c>
      <c r="H22" s="413">
        <f t="shared" si="2"/>
        <v>209612.28</v>
      </c>
      <c r="I22" s="414"/>
    </row>
    <row r="23" spans="1:9" s="330" customFormat="1" ht="12.75" customHeight="1" x14ac:dyDescent="0.25">
      <c r="A23" s="408"/>
      <c r="B23" s="409"/>
      <c r="C23" s="410"/>
      <c r="D23" s="412"/>
      <c r="E23" s="412">
        <f t="shared" si="0"/>
        <v>209612.28</v>
      </c>
      <c r="F23" s="445"/>
      <c r="G23" s="413">
        <f t="shared" si="1"/>
        <v>0</v>
      </c>
      <c r="H23" s="413">
        <f t="shared" si="2"/>
        <v>209612.28</v>
      </c>
      <c r="I23" s="414"/>
    </row>
    <row r="24" spans="1:9" s="330" customFormat="1" ht="12.75" customHeight="1" x14ac:dyDescent="0.25">
      <c r="A24" s="408"/>
      <c r="B24" s="409"/>
      <c r="C24" s="410"/>
      <c r="D24" s="412"/>
      <c r="E24" s="412">
        <f t="shared" si="0"/>
        <v>209612.28</v>
      </c>
      <c r="F24" s="445"/>
      <c r="G24" s="413">
        <f t="shared" si="1"/>
        <v>0</v>
      </c>
      <c r="H24" s="413">
        <f t="shared" si="2"/>
        <v>209612.28</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54</v>
      </c>
      <c r="D26" s="426">
        <f>SUM(D9:D25)</f>
        <v>209612.28</v>
      </c>
      <c r="E26" s="426"/>
      <c r="F26" s="426">
        <f>SUM(F9:F25)</f>
        <v>0</v>
      </c>
      <c r="G26" s="426"/>
      <c r="H26" s="426">
        <f>D26-F26</f>
        <v>209612.28</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5"/>
      <c r="D34" s="413"/>
      <c r="E34" s="413"/>
      <c r="F34" s="413"/>
      <c r="G34" s="413"/>
      <c r="H34" s="413"/>
      <c r="I34" s="414"/>
    </row>
    <row r="35" spans="1:9" s="330" customFormat="1" ht="12.75" customHeight="1" x14ac:dyDescent="0.25">
      <c r="A35" s="408"/>
      <c r="B35" s="410"/>
      <c r="C35" s="424"/>
      <c r="D35" s="427"/>
      <c r="E35" s="427"/>
      <c r="F35" s="427"/>
      <c r="G35" s="427"/>
      <c r="H35" s="427"/>
      <c r="I35" s="414"/>
    </row>
    <row r="36" spans="1:9" s="330" customFormat="1" ht="12.75" customHeight="1" x14ac:dyDescent="0.25"/>
    <row r="37" spans="1:9" s="330" customFormat="1" ht="12.75" customHeight="1" x14ac:dyDescent="0.25"/>
    <row r="38" spans="1:9" s="330" customFormat="1" ht="12.75" customHeight="1" x14ac:dyDescent="0.25"/>
    <row r="39" spans="1:9" s="330" customFormat="1" ht="12.75" customHeight="1" x14ac:dyDescent="0.25"/>
    <row r="40" spans="1:9" s="330" customFormat="1" ht="12.75" customHeight="1" x14ac:dyDescent="0.25"/>
    <row r="41" spans="1:9" s="330" customFormat="1" ht="12.75" customHeight="1" x14ac:dyDescent="0.25"/>
    <row r="42" spans="1:9" s="330" customFormat="1" ht="12.75" customHeight="1" x14ac:dyDescent="0.25"/>
    <row r="43" spans="1:9" s="330" customFormat="1" ht="12.75" customHeight="1" x14ac:dyDescent="0.25"/>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27">
    <tabColor rgb="FF0070C0"/>
    <pageSetUpPr fitToPage="1"/>
  </sheetPr>
  <dimension ref="A1:G20"/>
  <sheetViews>
    <sheetView tabSelected="1" topLeftCell="A3" zoomScaleNormal="100" workbookViewId="0">
      <selection activeCell="C38" sqref="C38"/>
    </sheetView>
  </sheetViews>
  <sheetFormatPr defaultColWidth="11.42578125" defaultRowHeight="15" customHeight="1" x14ac:dyDescent="0.25"/>
  <cols>
    <col min="1" max="1" width="3.5703125" style="282" customWidth="1"/>
    <col min="2" max="2" width="25" style="282" customWidth="1"/>
    <col min="3" max="3" width="21.5703125" style="282" customWidth="1"/>
    <col min="4" max="4" width="17" style="282" customWidth="1"/>
    <col min="5" max="5" width="13.42578125" style="282" bestFit="1" customWidth="1"/>
    <col min="6" max="6" width="16.42578125" style="282" customWidth="1"/>
    <col min="7" max="7" width="16.42578125" style="282" bestFit="1" customWidth="1"/>
    <col min="8" max="8" width="11.42578125" style="282"/>
    <col min="9" max="9" width="11.42578125" style="282" customWidth="1"/>
    <col min="10" max="16384" width="11.42578125" style="282"/>
  </cols>
  <sheetData>
    <row r="1" spans="1:7" ht="15.75" x14ac:dyDescent="0.25">
      <c r="A1" s="212"/>
      <c r="B1" s="109" t="s">
        <v>138</v>
      </c>
      <c r="C1" s="109"/>
      <c r="D1" s="179"/>
      <c r="E1" s="179"/>
      <c r="F1" s="179"/>
      <c r="G1" s="179"/>
    </row>
    <row r="2" spans="1:7" ht="15.75" x14ac:dyDescent="0.25">
      <c r="A2" s="212"/>
      <c r="B2" s="126" t="s">
        <v>139</v>
      </c>
      <c r="C2" s="182"/>
      <c r="D2" s="179"/>
      <c r="E2" s="179"/>
      <c r="F2" s="179"/>
      <c r="G2" s="179"/>
    </row>
    <row r="3" spans="1:7" ht="15.75" x14ac:dyDescent="0.25">
      <c r="A3" s="212"/>
      <c r="B3" s="183" t="s">
        <v>140</v>
      </c>
      <c r="C3" s="182"/>
      <c r="D3" s="179"/>
      <c r="E3" s="184" t="s">
        <v>78</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70</v>
      </c>
      <c r="C6" s="250"/>
      <c r="D6" s="251" t="s">
        <v>3</v>
      </c>
      <c r="E6" s="179"/>
      <c r="F6" s="179"/>
      <c r="G6" s="179"/>
    </row>
    <row r="7" spans="1:7" ht="33" customHeight="1" thickBot="1" x14ac:dyDescent="0.3">
      <c r="A7" s="212"/>
      <c r="B7" s="252" t="s">
        <v>3</v>
      </c>
      <c r="C7" s="253" t="s">
        <v>0</v>
      </c>
      <c r="D7" s="254" t="s">
        <v>1</v>
      </c>
      <c r="E7" s="255" t="s">
        <v>2</v>
      </c>
      <c r="F7" s="256" t="s">
        <v>37</v>
      </c>
      <c r="G7" s="256" t="s">
        <v>38</v>
      </c>
    </row>
    <row r="8" spans="1:7" ht="28.35" customHeight="1" x14ac:dyDescent="0.25">
      <c r="A8" s="212"/>
      <c r="B8" s="182" t="s">
        <v>39</v>
      </c>
      <c r="C8" s="257">
        <f>'#9433.00 Funds Recv''d '!H24</f>
        <v>192927.83000000002</v>
      </c>
      <c r="D8" s="258"/>
      <c r="E8" s="258"/>
      <c r="F8" s="258"/>
      <c r="G8" s="259"/>
    </row>
    <row r="9" spans="1:7" s="361" customFormat="1" ht="12.75" customHeight="1" x14ac:dyDescent="0.25">
      <c r="A9" s="478"/>
      <c r="B9" s="550"/>
      <c r="C9" s="551"/>
      <c r="D9" s="552"/>
      <c r="E9" s="552"/>
      <c r="F9" s="552"/>
      <c r="G9" s="553"/>
    </row>
    <row r="10" spans="1:7" s="361" customFormat="1" ht="12.75" customHeight="1" x14ac:dyDescent="0.25">
      <c r="A10" s="478" t="s">
        <v>170</v>
      </c>
      <c r="B10" s="550" t="s">
        <v>188</v>
      </c>
      <c r="C10" s="551"/>
      <c r="D10" s="554">
        <f>'#9433.00 Story Construction'!D23</f>
        <v>14532.1</v>
      </c>
      <c r="E10" s="554">
        <f>'#9433.00 Story Construction'!F23</f>
        <v>14532.1</v>
      </c>
      <c r="F10" s="554">
        <f>'#9433.00 Story Construction'!H23</f>
        <v>0</v>
      </c>
      <c r="G10" s="553"/>
    </row>
    <row r="11" spans="1:7" s="361" customFormat="1" ht="12.75" customHeight="1" x14ac:dyDescent="0.25">
      <c r="A11" s="478" t="s">
        <v>170</v>
      </c>
      <c r="B11" s="550" t="s">
        <v>41</v>
      </c>
      <c r="C11" s="551"/>
      <c r="D11" s="554">
        <f>'#9433.00 PM TIME '!E48</f>
        <v>9847.35</v>
      </c>
      <c r="E11" s="554">
        <f>'#9433.00 PM TIME '!G48</f>
        <v>9847.3500000000022</v>
      </c>
      <c r="F11" s="554">
        <f>'#9433.00 PM TIME '!I48</f>
        <v>0</v>
      </c>
      <c r="G11" s="553"/>
    </row>
    <row r="12" spans="1:7" s="361" customFormat="1" ht="12.75" customHeight="1" x14ac:dyDescent="0.25">
      <c r="A12" s="478" t="s">
        <v>170</v>
      </c>
      <c r="B12" s="550" t="s">
        <v>42</v>
      </c>
      <c r="C12" s="552"/>
      <c r="D12" s="555">
        <f>'#9433.00 Misc'!G22</f>
        <v>1473.85</v>
      </c>
      <c r="E12" s="555">
        <f>'#9433.00 Misc'!G22</f>
        <v>1473.85</v>
      </c>
      <c r="F12" s="554">
        <f>D12-E12</f>
        <v>0</v>
      </c>
      <c r="G12" s="553"/>
    </row>
    <row r="13" spans="1:7" s="361" customFormat="1" ht="12.75" customHeight="1" x14ac:dyDescent="0.25">
      <c r="A13" s="478" t="s">
        <v>170</v>
      </c>
      <c r="B13" s="550" t="s">
        <v>251</v>
      </c>
      <c r="C13" s="552"/>
      <c r="D13" s="555">
        <f>'#9433.00 Genesis Architectural'!D23</f>
        <v>13800</v>
      </c>
      <c r="E13" s="555">
        <f>'#9433.00 Genesis Architectural'!F23</f>
        <v>13800</v>
      </c>
      <c r="F13" s="554">
        <f>'#9433.00 Genesis Architectural'!H23</f>
        <v>0</v>
      </c>
      <c r="G13" s="553"/>
    </row>
    <row r="14" spans="1:7" s="361" customFormat="1" ht="12.75" customHeight="1" x14ac:dyDescent="0.25">
      <c r="A14" s="478" t="s">
        <v>170</v>
      </c>
      <c r="B14" s="550" t="s">
        <v>713</v>
      </c>
      <c r="C14" s="552"/>
      <c r="D14" s="555">
        <f>'#9433.00 Falke Construction'!D23</f>
        <v>123787.38</v>
      </c>
      <c r="E14" s="555">
        <f>'#9433.00 Falke Construction'!F23</f>
        <v>123787.38</v>
      </c>
      <c r="F14" s="554">
        <f>'#9433.00 Falke Construction'!H23</f>
        <v>0</v>
      </c>
      <c r="G14" s="553"/>
    </row>
    <row r="15" spans="1:7" s="361" customFormat="1" ht="12.75" customHeight="1" x14ac:dyDescent="0.25">
      <c r="A15" s="478" t="s">
        <v>170</v>
      </c>
      <c r="B15" s="550" t="s">
        <v>719</v>
      </c>
      <c r="C15" s="552"/>
      <c r="D15" s="555">
        <f>'#9433.00 Story Construction (2)'!D23</f>
        <v>29487.149999999998</v>
      </c>
      <c r="E15" s="555">
        <f>'#9433.00 Story Construction (2)'!F23</f>
        <v>29487.149999999998</v>
      </c>
      <c r="F15" s="554">
        <f>'#9433.00 Story Construction (2)'!H23</f>
        <v>0</v>
      </c>
      <c r="G15" s="553"/>
    </row>
    <row r="16" spans="1:7" s="361" customFormat="1" ht="12.75" customHeight="1" x14ac:dyDescent="0.25">
      <c r="A16" s="478"/>
      <c r="B16" s="550"/>
      <c r="C16" s="552"/>
      <c r="D16" s="555"/>
      <c r="E16" s="555"/>
      <c r="F16" s="554"/>
      <c r="G16" s="553"/>
    </row>
    <row r="17" spans="1:7" ht="24" customHeight="1" thickBot="1" x14ac:dyDescent="0.3">
      <c r="A17" s="263"/>
      <c r="B17" s="264" t="s">
        <v>43</v>
      </c>
      <c r="C17" s="265">
        <f>SUM(C8:C16)</f>
        <v>192927.83000000002</v>
      </c>
      <c r="D17" s="265">
        <f>SUM(D8:D16)</f>
        <v>192927.83</v>
      </c>
      <c r="E17" s="265">
        <f>SUM(E8:E16)</f>
        <v>192927.83</v>
      </c>
      <c r="F17" s="265">
        <f>SUM(D17-E17)</f>
        <v>0</v>
      </c>
      <c r="G17" s="265">
        <f>C17-D17</f>
        <v>0</v>
      </c>
    </row>
    <row r="18" spans="1:7" ht="15" customHeight="1" thickTop="1" x14ac:dyDescent="0.25"/>
    <row r="20" spans="1:7" ht="15" customHeight="1" x14ac:dyDescent="0.25">
      <c r="B20" s="176" t="s">
        <v>1679</v>
      </c>
    </row>
  </sheetData>
  <pageMargins left="0.25" right="0.25" top="0.91781250000000003"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28">
    <tabColor rgb="FF0070C0"/>
    <pageSetUpPr fitToPage="1"/>
  </sheetPr>
  <dimension ref="A1:H30"/>
  <sheetViews>
    <sheetView tabSelected="1" zoomScaleNormal="100" workbookViewId="0">
      <selection activeCell="C38" sqref="C38"/>
    </sheetView>
  </sheetViews>
  <sheetFormatPr defaultRowHeight="15" customHeight="1" x14ac:dyDescent="0.25"/>
  <cols>
    <col min="1" max="1" width="15.5703125" style="282" customWidth="1"/>
    <col min="2" max="2" width="16.28515625" style="282" customWidth="1"/>
    <col min="3" max="3" width="9.85546875" style="282" customWidth="1"/>
    <col min="4" max="4" width="38.140625" style="282" bestFit="1" customWidth="1"/>
    <col min="5" max="5" width="31.140625" style="282" customWidth="1"/>
    <col min="6" max="6" width="10.42578125" style="282" bestFit="1" customWidth="1"/>
    <col min="7" max="8" width="12.42578125" style="282" bestFit="1" customWidth="1"/>
    <col min="9" max="11" width="9.140625" style="282" customWidth="1"/>
    <col min="12" max="16384" width="9.140625" style="282"/>
  </cols>
  <sheetData>
    <row r="1" spans="1:8" x14ac:dyDescent="0.25">
      <c r="A1" s="267" t="str">
        <f>'RECAP #9433.00'!B1</f>
        <v>HHS WRC Cottage Siding Replacement</v>
      </c>
      <c r="B1" s="268"/>
      <c r="C1" s="269"/>
      <c r="D1" s="270"/>
      <c r="E1" s="270"/>
      <c r="F1" s="268"/>
      <c r="G1" s="268"/>
      <c r="H1" s="268"/>
    </row>
    <row r="2" spans="1:8" x14ac:dyDescent="0.25">
      <c r="A2" s="271" t="str">
        <f>'RECAP #9433.00'!B2</f>
        <v>Project # 9433.00</v>
      </c>
      <c r="B2" s="268"/>
      <c r="C2" s="272" t="s">
        <v>3</v>
      </c>
      <c r="D2" s="273"/>
      <c r="E2" s="273"/>
      <c r="F2" s="268"/>
      <c r="G2" s="268"/>
      <c r="H2" s="268"/>
    </row>
    <row r="3" spans="1:8" x14ac:dyDescent="0.25">
      <c r="A3" s="274" t="str">
        <f>'RECAP #9433.00'!B3</f>
        <v>Program code 943300</v>
      </c>
      <c r="B3" s="268"/>
      <c r="C3" s="272" t="s">
        <v>3</v>
      </c>
      <c r="D3" s="275" t="str">
        <f>'RECAP #9433.00'!E3</f>
        <v>Major Program 4E02</v>
      </c>
      <c r="E3" s="270"/>
      <c r="F3" s="268"/>
      <c r="G3" s="268"/>
      <c r="H3" s="268"/>
    </row>
    <row r="4" spans="1:8" ht="15.75" x14ac:dyDescent="0.25">
      <c r="A4" s="109" t="s">
        <v>44</v>
      </c>
      <c r="B4" s="276" t="s">
        <v>3</v>
      </c>
      <c r="C4" s="270"/>
      <c r="D4" s="270"/>
      <c r="E4" s="270"/>
      <c r="F4" s="268"/>
      <c r="G4" s="268"/>
      <c r="H4" s="268"/>
    </row>
    <row r="5" spans="1:8" x14ac:dyDescent="0.25">
      <c r="A5" s="263" t="s">
        <v>443</v>
      </c>
      <c r="B5" s="277"/>
      <c r="C5" s="278"/>
      <c r="D5" s="279"/>
      <c r="E5" s="268"/>
      <c r="F5" s="268"/>
      <c r="G5" s="268"/>
      <c r="H5" s="268"/>
    </row>
    <row r="6" spans="1:8" x14ac:dyDescent="0.25">
      <c r="A6" s="280" t="str">
        <f>'RECAP #9433.00'!B6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s="361" customFormat="1" ht="12.75" customHeight="1" x14ac:dyDescent="0.25">
      <c r="A9" s="351"/>
      <c r="B9" s="352"/>
      <c r="C9" s="353"/>
      <c r="D9" s="354" t="s">
        <v>73</v>
      </c>
      <c r="E9" s="354" t="s">
        <v>248</v>
      </c>
      <c r="F9" s="355">
        <v>45560</v>
      </c>
      <c r="G9" s="356">
        <v>40000</v>
      </c>
      <c r="H9" s="585">
        <v>40000</v>
      </c>
    </row>
    <row r="10" spans="1:8" s="361" customFormat="1" ht="12.75" customHeight="1" x14ac:dyDescent="0.25">
      <c r="A10" s="351"/>
      <c r="B10" s="351"/>
      <c r="C10" s="357"/>
      <c r="D10" s="354" t="s">
        <v>710</v>
      </c>
      <c r="E10" s="351" t="s">
        <v>711</v>
      </c>
      <c r="F10" s="351">
        <v>45779</v>
      </c>
      <c r="G10" s="586">
        <v>140000</v>
      </c>
      <c r="H10" s="586">
        <v>140000</v>
      </c>
    </row>
    <row r="11" spans="1:8" s="361" customFormat="1" ht="12.75" customHeight="1" x14ac:dyDescent="0.25">
      <c r="A11" s="359"/>
      <c r="B11" s="357"/>
      <c r="C11" s="360"/>
      <c r="D11" s="354" t="s">
        <v>1002</v>
      </c>
      <c r="E11" s="351" t="s">
        <v>1004</v>
      </c>
      <c r="F11" s="351">
        <v>45881</v>
      </c>
      <c r="G11" s="383">
        <v>-143156.43</v>
      </c>
      <c r="H11" s="383">
        <v>-143156.43</v>
      </c>
    </row>
    <row r="12" spans="1:8" s="361" customFormat="1" ht="12.75" customHeight="1" x14ac:dyDescent="0.25">
      <c r="A12" s="359"/>
      <c r="B12" s="357"/>
      <c r="C12" s="364"/>
      <c r="D12" s="354" t="s">
        <v>1059</v>
      </c>
      <c r="E12" s="351" t="s">
        <v>1077</v>
      </c>
      <c r="F12" s="351">
        <v>45902</v>
      </c>
      <c r="G12" s="586">
        <v>143156.43</v>
      </c>
      <c r="H12" s="586">
        <v>143156.43</v>
      </c>
    </row>
    <row r="13" spans="1:8" s="361" customFormat="1" ht="12.75" customHeight="1" x14ac:dyDescent="0.25">
      <c r="A13" s="365"/>
      <c r="B13" s="366"/>
      <c r="C13" s="364"/>
      <c r="D13" s="354" t="s">
        <v>1124</v>
      </c>
      <c r="E13" s="351" t="s">
        <v>1123</v>
      </c>
      <c r="F13" s="351">
        <v>45915</v>
      </c>
      <c r="G13" s="586">
        <v>30000</v>
      </c>
      <c r="H13" s="586">
        <v>30000</v>
      </c>
    </row>
    <row r="14" spans="1:8" s="361" customFormat="1" ht="12.75" customHeight="1" x14ac:dyDescent="0.25">
      <c r="A14" s="359"/>
      <c r="B14" s="368"/>
      <c r="C14" s="364"/>
      <c r="D14" s="354" t="s">
        <v>1681</v>
      </c>
      <c r="E14" s="351" t="s">
        <v>1680</v>
      </c>
      <c r="F14" s="351">
        <v>46097</v>
      </c>
      <c r="G14" s="383">
        <v>-17072.169999999998</v>
      </c>
      <c r="H14" s="383">
        <v>-17072.169999999998</v>
      </c>
    </row>
    <row r="15" spans="1:8" s="361" customFormat="1" ht="12.75" customHeight="1" x14ac:dyDescent="0.25">
      <c r="A15" s="359"/>
      <c r="B15" s="368"/>
      <c r="C15" s="369"/>
      <c r="D15" s="370"/>
      <c r="E15" s="366"/>
      <c r="F15" s="371"/>
      <c r="G15" s="372"/>
      <c r="H15" s="372"/>
    </row>
    <row r="16" spans="1:8" s="361" customFormat="1" ht="12.75" customHeight="1" x14ac:dyDescent="0.25">
      <c r="A16" s="359"/>
      <c r="B16" s="368"/>
      <c r="C16" s="369" t="s">
        <v>3</v>
      </c>
      <c r="D16" s="370"/>
      <c r="E16" s="368"/>
      <c r="F16" s="371"/>
      <c r="G16" s="372"/>
      <c r="H16" s="372"/>
    </row>
    <row r="17" spans="1:8" s="361" customFormat="1" ht="12.75" customHeight="1" x14ac:dyDescent="0.25">
      <c r="A17" s="359"/>
      <c r="B17" s="368"/>
      <c r="C17" s="369"/>
      <c r="D17" s="370"/>
      <c r="E17" s="368"/>
      <c r="F17" s="371"/>
      <c r="G17" s="373"/>
      <c r="H17" s="369"/>
    </row>
    <row r="18" spans="1:8" s="361" customFormat="1" ht="12.75" customHeight="1" x14ac:dyDescent="0.25">
      <c r="A18" s="359"/>
      <c r="B18" s="374"/>
      <c r="C18" s="369"/>
      <c r="D18" s="370"/>
      <c r="E18" s="368"/>
      <c r="F18" s="371"/>
      <c r="G18" s="372"/>
      <c r="H18" s="372"/>
    </row>
    <row r="19" spans="1:8" s="361" customFormat="1" ht="12.75" customHeight="1" x14ac:dyDescent="0.25">
      <c r="A19" s="359"/>
      <c r="B19" s="368"/>
      <c r="C19" s="369"/>
      <c r="D19" s="370"/>
      <c r="E19" s="368"/>
      <c r="F19" s="371"/>
      <c r="G19" s="372"/>
      <c r="H19" s="372"/>
    </row>
    <row r="20" spans="1:8" s="361" customFormat="1" ht="12.75" customHeight="1" x14ac:dyDescent="0.25">
      <c r="A20" s="359"/>
      <c r="B20" s="368"/>
      <c r="C20" s="369"/>
      <c r="D20" s="370"/>
      <c r="E20" s="368"/>
      <c r="F20" s="371"/>
      <c r="G20" s="373"/>
      <c r="H20" s="369"/>
    </row>
    <row r="21" spans="1:8" s="361" customFormat="1" ht="12.75" customHeight="1" x14ac:dyDescent="0.25">
      <c r="A21" s="359"/>
      <c r="B21" s="368"/>
      <c r="C21" s="369"/>
      <c r="D21" s="370"/>
      <c r="E21" s="368"/>
      <c r="F21" s="371"/>
      <c r="G21" s="373"/>
      <c r="H21" s="369"/>
    </row>
    <row r="22" spans="1:8" s="361" customFormat="1" ht="12.75" customHeight="1" x14ac:dyDescent="0.25">
      <c r="A22" s="359"/>
      <c r="B22" s="368"/>
      <c r="C22" s="369"/>
      <c r="D22" s="370"/>
      <c r="E22" s="368"/>
      <c r="F22" s="359"/>
      <c r="G22" s="372"/>
      <c r="H22" s="372"/>
    </row>
    <row r="23" spans="1:8" s="361" customFormat="1" ht="12.75" customHeight="1" x14ac:dyDescent="0.25">
      <c r="A23" s="359"/>
      <c r="B23" s="368"/>
      <c r="C23" s="369"/>
      <c r="D23" s="370"/>
      <c r="E23" s="368"/>
      <c r="F23" s="359"/>
      <c r="G23" s="372"/>
      <c r="H23" s="372"/>
    </row>
    <row r="24" spans="1:8" s="361" customFormat="1" ht="12.75" customHeight="1" thickBot="1" x14ac:dyDescent="0.3">
      <c r="A24" s="557"/>
      <c r="B24" s="558" t="s">
        <v>9</v>
      </c>
      <c r="C24" s="559">
        <f>SUM(C9:C23)</f>
        <v>0</v>
      </c>
      <c r="D24" s="560" t="s">
        <v>10</v>
      </c>
      <c r="E24" s="561"/>
      <c r="F24" s="562"/>
      <c r="G24" s="405">
        <f>SUM(G9:G23)</f>
        <v>192927.83000000002</v>
      </c>
      <c r="H24" s="405">
        <f>SUM(H9:H23)</f>
        <v>192927.83000000002</v>
      </c>
    </row>
    <row r="25" spans="1:8" s="361" customFormat="1" ht="12.75" customHeight="1" thickTop="1" x14ac:dyDescent="0.25"/>
    <row r="26" spans="1:8" s="361" customFormat="1" ht="12.75" customHeight="1" x14ac:dyDescent="0.25"/>
    <row r="27" spans="1:8" s="361" customFormat="1" ht="12.75" customHeight="1" x14ac:dyDescent="0.25"/>
    <row r="28" spans="1:8" s="361" customFormat="1" ht="12.75" customHeight="1" x14ac:dyDescent="0.25"/>
    <row r="29" spans="1:8" s="361" customFormat="1" ht="12.75" customHeight="1" x14ac:dyDescent="0.25"/>
    <row r="30" spans="1:8" s="361" customFormat="1" ht="1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E29-F2E9-457A-891F-C50CCB929EA8}">
  <sheetPr codeName="Sheet13">
    <pageSetUpPr fitToPage="1"/>
  </sheetPr>
  <dimension ref="A1:I3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1280</v>
      </c>
      <c r="B4" s="126"/>
      <c r="C4" s="127"/>
      <c r="D4" s="128" t="s">
        <v>482</v>
      </c>
      <c r="E4" s="124"/>
      <c r="F4" s="124"/>
      <c r="G4" s="124"/>
      <c r="H4" s="125"/>
      <c r="I4" s="125"/>
    </row>
    <row r="5" spans="1:9" ht="15.75" x14ac:dyDescent="0.25">
      <c r="A5" s="129" t="s">
        <v>109</v>
      </c>
      <c r="B5" s="130"/>
      <c r="C5" s="131"/>
      <c r="D5" s="132" t="s">
        <v>483</v>
      </c>
      <c r="E5" s="133"/>
      <c r="F5" s="134"/>
      <c r="G5" s="134"/>
      <c r="H5" s="130"/>
      <c r="I5" s="125"/>
    </row>
    <row r="6" spans="1:9" ht="15.75" x14ac:dyDescent="0.25">
      <c r="A6" s="86" t="str">
        <f>'RECAP #9239.02'!B6</f>
        <v>Project Manager - Brad T.</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1281</v>
      </c>
      <c r="B9" s="409">
        <v>45953</v>
      </c>
      <c r="C9" s="410" t="s">
        <v>107</v>
      </c>
      <c r="D9" s="411">
        <v>280801.09999999998</v>
      </c>
      <c r="E9" s="412">
        <f>D9</f>
        <v>280801.09999999998</v>
      </c>
      <c r="F9" s="413"/>
      <c r="G9" s="413"/>
      <c r="H9" s="413">
        <f>E9</f>
        <v>280801.09999999998</v>
      </c>
      <c r="I9" s="444"/>
    </row>
    <row r="10" spans="1:9" s="330" customFormat="1" ht="12.75" customHeight="1" x14ac:dyDescent="0.25">
      <c r="A10" s="408" t="s">
        <v>1379</v>
      </c>
      <c r="B10" s="240">
        <v>45995</v>
      </c>
      <c r="C10" s="410" t="s">
        <v>1380</v>
      </c>
      <c r="D10" s="412"/>
      <c r="E10" s="412">
        <f t="shared" ref="E10:E21" si="0">E9+D10</f>
        <v>280801.09999999998</v>
      </c>
      <c r="F10" s="445">
        <v>9597.0400000000009</v>
      </c>
      <c r="G10" s="413">
        <f t="shared" ref="G10:G21" si="1">G9+F10</f>
        <v>9597.0400000000009</v>
      </c>
      <c r="H10" s="413">
        <f t="shared" ref="H10:H21" si="2">H9-F10+D10</f>
        <v>271204.06</v>
      </c>
      <c r="I10" s="446"/>
    </row>
    <row r="11" spans="1:9" s="330" customFormat="1" ht="12.75" customHeight="1" x14ac:dyDescent="0.25">
      <c r="A11" s="408" t="s">
        <v>1520</v>
      </c>
      <c r="B11" s="409">
        <v>46034</v>
      </c>
      <c r="C11" s="410" t="s">
        <v>1521</v>
      </c>
      <c r="D11" s="411"/>
      <c r="E11" s="412">
        <f t="shared" si="0"/>
        <v>280801.09999999998</v>
      </c>
      <c r="F11" s="445">
        <v>10195.629999999999</v>
      </c>
      <c r="G11" s="413">
        <f t="shared" si="1"/>
        <v>19792.669999999998</v>
      </c>
      <c r="H11" s="413">
        <f t="shared" si="2"/>
        <v>261008.43</v>
      </c>
      <c r="I11" s="444"/>
    </row>
    <row r="12" spans="1:9" s="330" customFormat="1" ht="12.75" customHeight="1" x14ac:dyDescent="0.25">
      <c r="A12" s="408" t="s">
        <v>1537</v>
      </c>
      <c r="B12" s="409">
        <v>46056</v>
      </c>
      <c r="C12" s="410" t="s">
        <v>1538</v>
      </c>
      <c r="D12" s="412"/>
      <c r="E12" s="412">
        <f t="shared" si="0"/>
        <v>280801.09999999998</v>
      </c>
      <c r="F12" s="445">
        <v>15942.33</v>
      </c>
      <c r="G12" s="413">
        <f t="shared" si="1"/>
        <v>35735</v>
      </c>
      <c r="H12" s="413">
        <f t="shared" si="2"/>
        <v>245066.1</v>
      </c>
      <c r="I12" s="444"/>
    </row>
    <row r="13" spans="1:9" s="330" customFormat="1" ht="12.75" customHeight="1" x14ac:dyDescent="0.25">
      <c r="A13" s="408" t="s">
        <v>1642</v>
      </c>
      <c r="B13" s="409">
        <v>46084</v>
      </c>
      <c r="C13" s="410" t="s">
        <v>1643</v>
      </c>
      <c r="D13" s="412"/>
      <c r="E13" s="412">
        <f t="shared" si="0"/>
        <v>280801.09999999998</v>
      </c>
      <c r="F13" s="445">
        <v>32592.25</v>
      </c>
      <c r="G13" s="413">
        <f t="shared" si="1"/>
        <v>68327.25</v>
      </c>
      <c r="H13" s="413">
        <f t="shared" si="2"/>
        <v>212473.85</v>
      </c>
      <c r="I13" s="444"/>
    </row>
    <row r="14" spans="1:9" s="330" customFormat="1" ht="12.75" customHeight="1" x14ac:dyDescent="0.25">
      <c r="A14" s="408" t="s">
        <v>1744</v>
      </c>
      <c r="B14" s="409">
        <v>46119</v>
      </c>
      <c r="C14" s="410" t="s">
        <v>1745</v>
      </c>
      <c r="D14" s="412"/>
      <c r="E14" s="412">
        <f t="shared" si="0"/>
        <v>280801.09999999998</v>
      </c>
      <c r="F14" s="445">
        <v>28200.68</v>
      </c>
      <c r="G14" s="413">
        <f t="shared" si="1"/>
        <v>96527.93</v>
      </c>
      <c r="H14" s="413">
        <f t="shared" si="2"/>
        <v>184273.17</v>
      </c>
      <c r="I14" s="444"/>
    </row>
    <row r="15" spans="1:9" s="330" customFormat="1" ht="12.75" customHeight="1" x14ac:dyDescent="0.25">
      <c r="A15" s="408"/>
      <c r="B15" s="409"/>
      <c r="C15" s="410"/>
      <c r="D15" s="412"/>
      <c r="E15" s="412">
        <f t="shared" si="0"/>
        <v>280801.09999999998</v>
      </c>
      <c r="F15" s="422"/>
      <c r="G15" s="413">
        <f t="shared" si="1"/>
        <v>96527.93</v>
      </c>
      <c r="H15" s="413">
        <f t="shared" si="2"/>
        <v>184273.17</v>
      </c>
      <c r="I15" s="444"/>
    </row>
    <row r="16" spans="1:9" s="330" customFormat="1" ht="12.75" customHeight="1" x14ac:dyDescent="0.25">
      <c r="A16" s="408"/>
      <c r="B16" s="409"/>
      <c r="C16" s="410"/>
      <c r="D16" s="412"/>
      <c r="E16" s="412">
        <f t="shared" si="0"/>
        <v>280801.09999999998</v>
      </c>
      <c r="F16" s="422"/>
      <c r="G16" s="413">
        <f t="shared" si="1"/>
        <v>96527.93</v>
      </c>
      <c r="H16" s="413">
        <f t="shared" si="2"/>
        <v>184273.17</v>
      </c>
      <c r="I16" s="444"/>
    </row>
    <row r="17" spans="1:9" s="330" customFormat="1" ht="12.75" customHeight="1" x14ac:dyDescent="0.25">
      <c r="A17" s="408"/>
      <c r="B17" s="409"/>
      <c r="C17" s="410"/>
      <c r="D17" s="412"/>
      <c r="E17" s="412">
        <f t="shared" si="0"/>
        <v>280801.09999999998</v>
      </c>
      <c r="F17" s="422"/>
      <c r="G17" s="413">
        <f t="shared" si="1"/>
        <v>96527.93</v>
      </c>
      <c r="H17" s="413">
        <f t="shared" si="2"/>
        <v>184273.17</v>
      </c>
      <c r="I17" s="444"/>
    </row>
    <row r="18" spans="1:9" s="330" customFormat="1" ht="12.75" customHeight="1" x14ac:dyDescent="0.25">
      <c r="A18" s="408"/>
      <c r="B18" s="409"/>
      <c r="C18" s="410"/>
      <c r="D18" s="412"/>
      <c r="E18" s="412">
        <f t="shared" si="0"/>
        <v>280801.09999999998</v>
      </c>
      <c r="F18" s="422"/>
      <c r="G18" s="413">
        <f t="shared" si="1"/>
        <v>96527.93</v>
      </c>
      <c r="H18" s="413">
        <f t="shared" si="2"/>
        <v>184273.17</v>
      </c>
      <c r="I18" s="444"/>
    </row>
    <row r="19" spans="1:9" s="330" customFormat="1" ht="12.75" customHeight="1" x14ac:dyDescent="0.25">
      <c r="A19" s="408"/>
      <c r="B19" s="409"/>
      <c r="C19" s="410"/>
      <c r="D19" s="412"/>
      <c r="E19" s="412">
        <f t="shared" si="0"/>
        <v>280801.09999999998</v>
      </c>
      <c r="F19" s="413"/>
      <c r="G19" s="413">
        <f t="shared" si="1"/>
        <v>96527.93</v>
      </c>
      <c r="H19" s="413">
        <f t="shared" si="2"/>
        <v>184273.17</v>
      </c>
      <c r="I19" s="444"/>
    </row>
    <row r="20" spans="1:9" s="330" customFormat="1" ht="12.75" customHeight="1" x14ac:dyDescent="0.25">
      <c r="A20" s="408"/>
      <c r="B20" s="409"/>
      <c r="C20" s="410"/>
      <c r="D20" s="412"/>
      <c r="E20" s="412">
        <f t="shared" si="0"/>
        <v>280801.09999999998</v>
      </c>
      <c r="F20" s="413"/>
      <c r="G20" s="413">
        <f t="shared" si="1"/>
        <v>96527.93</v>
      </c>
      <c r="H20" s="413">
        <f t="shared" si="2"/>
        <v>184273.17</v>
      </c>
      <c r="I20" s="444"/>
    </row>
    <row r="21" spans="1:9" s="330" customFormat="1" ht="12.75" customHeight="1" x14ac:dyDescent="0.25">
      <c r="A21" s="408"/>
      <c r="B21" s="409"/>
      <c r="C21" s="423"/>
      <c r="D21" s="412"/>
      <c r="E21" s="412">
        <f t="shared" si="0"/>
        <v>280801.09999999998</v>
      </c>
      <c r="F21" s="413"/>
      <c r="G21" s="413">
        <f t="shared" si="1"/>
        <v>96527.93</v>
      </c>
      <c r="H21" s="413">
        <f t="shared" si="2"/>
        <v>184273.17</v>
      </c>
      <c r="I21" s="44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280801.09999999998</v>
      </c>
      <c r="E23" s="426"/>
      <c r="F23" s="426">
        <f>SUM(F9:F22)</f>
        <v>96527.93</v>
      </c>
      <c r="G23" s="426"/>
      <c r="H23" s="426">
        <f>D23-F23</f>
        <v>184273.16999999998</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192</v>
      </c>
      <c r="D26" s="413">
        <v>134749.29999999999</v>
      </c>
      <c r="E26" s="413"/>
      <c r="F26" s="413">
        <f>4333.04+4920.45+7423.15+12607.22+16265.75</f>
        <v>45549.61</v>
      </c>
      <c r="G26" s="413"/>
      <c r="H26" s="413">
        <f>D26-F26</f>
        <v>89199.689999999988</v>
      </c>
      <c r="I26" s="414"/>
    </row>
    <row r="27" spans="1:9" s="330" customFormat="1" ht="12.75" customHeight="1" x14ac:dyDescent="0.25">
      <c r="A27" s="408"/>
      <c r="B27" s="410"/>
      <c r="C27" s="425" t="s">
        <v>784</v>
      </c>
      <c r="D27" s="413">
        <v>13500</v>
      </c>
      <c r="E27" s="413"/>
      <c r="F27" s="413">
        <f>264+264+1340.59+806.37</f>
        <v>2674.96</v>
      </c>
      <c r="G27" s="413"/>
      <c r="H27" s="413">
        <f t="shared" ref="H27:H31" si="3">D27-F27</f>
        <v>10825.04</v>
      </c>
      <c r="I27" s="414"/>
    </row>
    <row r="28" spans="1:9" s="330" customFormat="1" ht="12.75" customHeight="1" x14ac:dyDescent="0.25">
      <c r="A28" s="408"/>
      <c r="B28" s="410"/>
      <c r="C28" s="425" t="s">
        <v>1290</v>
      </c>
      <c r="D28" s="413">
        <v>5600</v>
      </c>
      <c r="E28" s="413"/>
      <c r="F28" s="413">
        <f>144+144</f>
        <v>288</v>
      </c>
      <c r="G28" s="413"/>
      <c r="H28" s="413">
        <f t="shared" si="3"/>
        <v>5312</v>
      </c>
      <c r="I28" s="414"/>
    </row>
    <row r="29" spans="1:9" s="330" customFormat="1" ht="12.75" customHeight="1" x14ac:dyDescent="0.25">
      <c r="A29" s="408"/>
      <c r="B29" s="410"/>
      <c r="C29" s="425" t="s">
        <v>1291</v>
      </c>
      <c r="D29" s="413">
        <v>3120</v>
      </c>
      <c r="E29" s="413"/>
      <c r="F29" s="413">
        <f>275.18+275.18+600.9+275.18</f>
        <v>1426.44</v>
      </c>
      <c r="G29" s="413"/>
      <c r="H29" s="413">
        <f t="shared" si="3"/>
        <v>1693.56</v>
      </c>
      <c r="I29" s="414"/>
    </row>
    <row r="30" spans="1:9" s="330" customFormat="1" ht="12.75" customHeight="1" x14ac:dyDescent="0.25">
      <c r="A30" s="408"/>
      <c r="B30" s="410"/>
      <c r="C30" s="425" t="s">
        <v>1292</v>
      </c>
      <c r="D30" s="413">
        <v>7500</v>
      </c>
      <c r="E30" s="413"/>
      <c r="F30" s="413">
        <f>980+709.38</f>
        <v>1689.38</v>
      </c>
      <c r="G30" s="413"/>
      <c r="H30" s="413">
        <f t="shared" si="3"/>
        <v>5810.62</v>
      </c>
      <c r="I30" s="414"/>
    </row>
    <row r="31" spans="1:9" s="330" customFormat="1" ht="12.75" customHeight="1" x14ac:dyDescent="0.25">
      <c r="A31" s="408"/>
      <c r="B31" s="410"/>
      <c r="C31" s="425" t="s">
        <v>1297</v>
      </c>
      <c r="D31" s="413">
        <v>116331.8</v>
      </c>
      <c r="E31" s="413"/>
      <c r="F31" s="413">
        <f>5000+5000+7000+17899.54+10000</f>
        <v>44899.54</v>
      </c>
      <c r="G31" s="413"/>
      <c r="H31" s="413">
        <f t="shared" si="3"/>
        <v>71432.260000000009</v>
      </c>
      <c r="I31" s="414"/>
    </row>
    <row r="32" spans="1:9" s="330" customFormat="1" ht="12.75" customHeight="1" thickBot="1" x14ac:dyDescent="0.3">
      <c r="A32" s="408"/>
      <c r="B32" s="410"/>
      <c r="C32" s="427" t="s">
        <v>555</v>
      </c>
      <c r="D32" s="426">
        <f>SUM(D26:D31)</f>
        <v>280801.09999999998</v>
      </c>
      <c r="E32" s="427"/>
      <c r="F32" s="426">
        <f>SUM(F26:F31)</f>
        <v>96527.93</v>
      </c>
      <c r="G32" s="427"/>
      <c r="H32" s="426">
        <f>SUM(H26:H31)</f>
        <v>184273.16999999998</v>
      </c>
      <c r="I32" s="427"/>
    </row>
    <row r="33" s="330" customFormat="1" ht="12.7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29">
    <tabColor rgb="FF0070C0"/>
    <pageSetUpPr fitToPage="1"/>
  </sheetPr>
  <dimension ref="A1:I3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188</v>
      </c>
      <c r="B4" s="126"/>
      <c r="C4" s="181"/>
      <c r="D4" s="185" t="s">
        <v>189</v>
      </c>
      <c r="E4" s="180"/>
      <c r="F4" s="180"/>
      <c r="G4" s="180"/>
      <c r="H4" s="181"/>
      <c r="I4" s="181"/>
    </row>
    <row r="5" spans="1:9" ht="15.75" x14ac:dyDescent="0.25">
      <c r="A5" s="186" t="s">
        <v>109</v>
      </c>
      <c r="B5" s="181"/>
      <c r="C5" s="187"/>
      <c r="D5" s="132" t="s">
        <v>249</v>
      </c>
      <c r="E5" s="137"/>
      <c r="F5" s="180"/>
      <c r="G5" s="180"/>
      <c r="H5" s="181"/>
      <c r="I5" s="181"/>
    </row>
    <row r="6" spans="1:9" ht="15.75" x14ac:dyDescent="0.25">
      <c r="A6" s="126" t="str">
        <f>'RECAP #9433.00'!B6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250</v>
      </c>
      <c r="B9" s="500">
        <v>45561</v>
      </c>
      <c r="C9" s="501" t="s">
        <v>107</v>
      </c>
      <c r="D9" s="404">
        <v>14541.54</v>
      </c>
      <c r="E9" s="502">
        <f>D9</f>
        <v>14541.54</v>
      </c>
      <c r="F9" s="503"/>
      <c r="G9" s="503"/>
      <c r="H9" s="503">
        <f>E9</f>
        <v>14541.54</v>
      </c>
      <c r="I9" s="504"/>
    </row>
    <row r="10" spans="1:9" s="330" customFormat="1" ht="12.75" customHeight="1" x14ac:dyDescent="0.25">
      <c r="A10" s="499" t="s">
        <v>328</v>
      </c>
      <c r="B10" s="365">
        <v>45614</v>
      </c>
      <c r="C10" s="501" t="s">
        <v>329</v>
      </c>
      <c r="D10" s="502"/>
      <c r="E10" s="502">
        <f t="shared" ref="E10:E21" si="0">E9+D10</f>
        <v>14541.54</v>
      </c>
      <c r="F10" s="406">
        <v>1998.8</v>
      </c>
      <c r="G10" s="503">
        <f t="shared" ref="G10:G21" si="1">G9+F10</f>
        <v>1998.8</v>
      </c>
      <c r="H10" s="503">
        <f t="shared" ref="H10:H21" si="2">H9-F10+D10</f>
        <v>12542.740000000002</v>
      </c>
      <c r="I10" s="504"/>
    </row>
    <row r="11" spans="1:9" s="330" customFormat="1" ht="12.75" customHeight="1" x14ac:dyDescent="0.25">
      <c r="A11" s="499" t="s">
        <v>352</v>
      </c>
      <c r="B11" s="500">
        <v>45642</v>
      </c>
      <c r="C11" s="501" t="s">
        <v>353</v>
      </c>
      <c r="D11" s="502"/>
      <c r="E11" s="502">
        <f t="shared" si="0"/>
        <v>14541.54</v>
      </c>
      <c r="F11" s="406">
        <v>1238.21</v>
      </c>
      <c r="G11" s="503">
        <f t="shared" si="1"/>
        <v>3237.01</v>
      </c>
      <c r="H11" s="503">
        <f t="shared" si="2"/>
        <v>11304.530000000002</v>
      </c>
      <c r="I11" s="504"/>
    </row>
    <row r="12" spans="1:9" s="330" customFormat="1" ht="12.75" customHeight="1" x14ac:dyDescent="0.25">
      <c r="A12" s="499" t="s">
        <v>438</v>
      </c>
      <c r="B12" s="500">
        <v>45306</v>
      </c>
      <c r="C12" s="501" t="s">
        <v>439</v>
      </c>
      <c r="D12" s="502"/>
      <c r="E12" s="502">
        <f t="shared" si="0"/>
        <v>14541.54</v>
      </c>
      <c r="F12" s="406">
        <v>1219.22</v>
      </c>
      <c r="G12" s="503">
        <f t="shared" si="1"/>
        <v>4456.2300000000005</v>
      </c>
      <c r="H12" s="503">
        <f t="shared" si="2"/>
        <v>10085.310000000003</v>
      </c>
      <c r="I12" s="504"/>
    </row>
    <row r="13" spans="1:9" s="330" customFormat="1" ht="12.75" customHeight="1" x14ac:dyDescent="0.25">
      <c r="A13" s="499" t="s">
        <v>518</v>
      </c>
      <c r="B13" s="500">
        <v>45705</v>
      </c>
      <c r="C13" s="501" t="s">
        <v>519</v>
      </c>
      <c r="D13" s="502"/>
      <c r="E13" s="502">
        <f t="shared" si="0"/>
        <v>14541.54</v>
      </c>
      <c r="F13" s="406">
        <v>1114.8699999999999</v>
      </c>
      <c r="G13" s="503">
        <f t="shared" si="1"/>
        <v>5571.1</v>
      </c>
      <c r="H13" s="503">
        <f t="shared" si="2"/>
        <v>8970.4400000000023</v>
      </c>
      <c r="I13" s="504"/>
    </row>
    <row r="14" spans="1:9" s="330" customFormat="1" ht="12.75" customHeight="1" x14ac:dyDescent="0.25">
      <c r="A14" s="499" t="s">
        <v>577</v>
      </c>
      <c r="B14" s="500">
        <v>45737</v>
      </c>
      <c r="C14" s="501" t="s">
        <v>578</v>
      </c>
      <c r="D14" s="502"/>
      <c r="E14" s="502">
        <f t="shared" si="0"/>
        <v>14541.54</v>
      </c>
      <c r="F14" s="406">
        <v>6315.56</v>
      </c>
      <c r="G14" s="503">
        <f t="shared" si="1"/>
        <v>11886.66</v>
      </c>
      <c r="H14" s="503">
        <f t="shared" si="2"/>
        <v>2654.8800000000019</v>
      </c>
      <c r="I14" s="504"/>
    </row>
    <row r="15" spans="1:9" s="330" customFormat="1" ht="12.75" customHeight="1" x14ac:dyDescent="0.25">
      <c r="A15" s="499" t="s">
        <v>681</v>
      </c>
      <c r="B15" s="500">
        <v>45762</v>
      </c>
      <c r="C15" s="501" t="s">
        <v>682</v>
      </c>
      <c r="D15" s="512">
        <v>-9.44</v>
      </c>
      <c r="E15" s="502">
        <f t="shared" si="0"/>
        <v>14532.1</v>
      </c>
      <c r="F15" s="406">
        <v>2645.44</v>
      </c>
      <c r="G15" s="503">
        <f t="shared" si="1"/>
        <v>14532.1</v>
      </c>
      <c r="H15" s="503">
        <f t="shared" si="2"/>
        <v>1.8740564655672642E-12</v>
      </c>
      <c r="I15" s="504"/>
    </row>
    <row r="16" spans="1:9" s="330" customFormat="1" ht="12.75" customHeight="1" x14ac:dyDescent="0.25">
      <c r="A16" s="499"/>
      <c r="B16" s="500"/>
      <c r="C16" s="501"/>
      <c r="D16" s="502"/>
      <c r="E16" s="502">
        <f t="shared" si="0"/>
        <v>14532.1</v>
      </c>
      <c r="F16" s="406"/>
      <c r="G16" s="503">
        <f t="shared" si="1"/>
        <v>14532.1</v>
      </c>
      <c r="H16" s="503">
        <f t="shared" si="2"/>
        <v>1.8740564655672642E-12</v>
      </c>
      <c r="I16" s="504"/>
    </row>
    <row r="17" spans="1:9" s="330" customFormat="1" ht="12.75" customHeight="1" x14ac:dyDescent="0.25">
      <c r="A17" s="499"/>
      <c r="B17" s="500"/>
      <c r="C17" s="501"/>
      <c r="D17" s="502"/>
      <c r="E17" s="502">
        <f t="shared" si="0"/>
        <v>14532.1</v>
      </c>
      <c r="F17" s="406"/>
      <c r="G17" s="503">
        <f t="shared" si="1"/>
        <v>14532.1</v>
      </c>
      <c r="H17" s="503">
        <f t="shared" si="2"/>
        <v>1.8740564655672642E-12</v>
      </c>
      <c r="I17" s="504"/>
    </row>
    <row r="18" spans="1:9" s="330" customFormat="1" ht="12.75" customHeight="1" x14ac:dyDescent="0.25">
      <c r="A18" s="499"/>
      <c r="B18" s="500"/>
      <c r="C18" s="501"/>
      <c r="D18" s="502"/>
      <c r="E18" s="502">
        <f t="shared" si="0"/>
        <v>14532.1</v>
      </c>
      <c r="F18" s="406"/>
      <c r="G18" s="503">
        <f t="shared" si="1"/>
        <v>14532.1</v>
      </c>
      <c r="H18" s="503">
        <f t="shared" si="2"/>
        <v>1.8740564655672642E-12</v>
      </c>
      <c r="I18" s="504"/>
    </row>
    <row r="19" spans="1:9" s="330" customFormat="1" ht="12.75" customHeight="1" x14ac:dyDescent="0.25">
      <c r="A19" s="499"/>
      <c r="B19" s="500"/>
      <c r="C19" s="501"/>
      <c r="D19" s="502"/>
      <c r="E19" s="502">
        <f t="shared" si="0"/>
        <v>14532.1</v>
      </c>
      <c r="F19" s="503"/>
      <c r="G19" s="503">
        <f t="shared" si="1"/>
        <v>14532.1</v>
      </c>
      <c r="H19" s="503">
        <f t="shared" si="2"/>
        <v>1.8740564655672642E-12</v>
      </c>
      <c r="I19" s="504"/>
    </row>
    <row r="20" spans="1:9" s="330" customFormat="1" ht="12.75" customHeight="1" x14ac:dyDescent="0.25">
      <c r="A20" s="499"/>
      <c r="B20" s="500"/>
      <c r="C20" s="501"/>
      <c r="D20" s="502"/>
      <c r="E20" s="502">
        <f t="shared" si="0"/>
        <v>14532.1</v>
      </c>
      <c r="F20" s="503"/>
      <c r="G20" s="503">
        <f t="shared" si="1"/>
        <v>14532.1</v>
      </c>
      <c r="H20" s="503">
        <f t="shared" si="2"/>
        <v>1.8740564655672642E-12</v>
      </c>
      <c r="I20" s="504"/>
    </row>
    <row r="21" spans="1:9" s="330" customFormat="1" ht="12.75" customHeight="1" x14ac:dyDescent="0.25">
      <c r="A21" s="499"/>
      <c r="B21" s="500"/>
      <c r="C21" s="514"/>
      <c r="D21" s="502"/>
      <c r="E21" s="502">
        <f t="shared" si="0"/>
        <v>14532.1</v>
      </c>
      <c r="F21" s="503"/>
      <c r="G21" s="503">
        <f t="shared" si="1"/>
        <v>14532.1</v>
      </c>
      <c r="H21" s="503">
        <f t="shared" si="2"/>
        <v>1.8740564655672642E-12</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14532.1</v>
      </c>
      <c r="E23" s="405"/>
      <c r="F23" s="405">
        <f>SUM(F9:F22)</f>
        <v>14532.1</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192</v>
      </c>
      <c r="D26" s="503">
        <f>14482.54-9.44</f>
        <v>14473.1</v>
      </c>
      <c r="E26" s="503"/>
      <c r="F26" s="503">
        <f>1939.8+1238.21+1219.22+1114.87+6315.56+2645.44</f>
        <v>14473.1</v>
      </c>
      <c r="G26" s="503"/>
      <c r="H26" s="503">
        <f>D26-F26</f>
        <v>0</v>
      </c>
      <c r="I26" s="504"/>
    </row>
    <row r="27" spans="1:9" s="330" customFormat="1" ht="12.75" customHeight="1" x14ac:dyDescent="0.25">
      <c r="A27" s="499"/>
      <c r="B27" s="501"/>
      <c r="C27" s="515" t="s">
        <v>118</v>
      </c>
      <c r="D27" s="503">
        <v>59</v>
      </c>
      <c r="E27" s="503"/>
      <c r="F27" s="503">
        <f>59</f>
        <v>59</v>
      </c>
      <c r="G27" s="503"/>
      <c r="H27" s="503">
        <f>D27-F27</f>
        <v>0</v>
      </c>
      <c r="I27" s="504"/>
    </row>
    <row r="28" spans="1:9" s="330" customFormat="1" ht="12.75" customHeight="1" thickBot="1" x14ac:dyDescent="0.3">
      <c r="A28" s="499"/>
      <c r="B28" s="501"/>
      <c r="C28" s="518" t="s">
        <v>555</v>
      </c>
      <c r="D28" s="405">
        <f>SUM(D26:D27)</f>
        <v>14532.1</v>
      </c>
      <c r="E28" s="519"/>
      <c r="F28" s="405">
        <f>SUM(F26:F27)</f>
        <v>14532.1</v>
      </c>
      <c r="G28" s="519"/>
      <c r="H28" s="405">
        <f>SUM(H26:H27)</f>
        <v>0</v>
      </c>
      <c r="I28" s="50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30">
    <tabColor rgb="FF0070C0"/>
    <pageSetUpPr fitToPage="1"/>
  </sheetPr>
  <dimension ref="A1:J50"/>
  <sheetViews>
    <sheetView tabSelected="1" topLeftCell="A17" zoomScaleNormal="100" workbookViewId="0">
      <selection activeCell="C38" sqref="C38"/>
    </sheetView>
  </sheetViews>
  <sheetFormatPr defaultColWidth="11.42578125" defaultRowHeight="15" customHeight="1" x14ac:dyDescent="0.25"/>
  <cols>
    <col min="1" max="1" width="24.5703125" style="282" customWidth="1"/>
    <col min="2" max="3" width="9.42578125" style="282" customWidth="1"/>
    <col min="4" max="4" width="37.140625" style="282" customWidth="1"/>
    <col min="5" max="5" width="21.7109375" style="282" customWidth="1"/>
    <col min="6" max="6" width="13.5703125" style="282" customWidth="1"/>
    <col min="7" max="7" width="12.42578125" style="282" customWidth="1"/>
    <col min="8" max="8" width="10.5703125" style="282" customWidth="1"/>
    <col min="9" max="9" width="10.5703125" style="282" bestFit="1" customWidth="1"/>
    <col min="10" max="16384" width="11.42578125" style="282"/>
  </cols>
  <sheetData>
    <row r="1" spans="1:10" ht="15.75" x14ac:dyDescent="0.25">
      <c r="A1" s="109" t="str">
        <f>'RECAP #9433.00'!B1</f>
        <v>HHS WRC Cottage Siding Replacement</v>
      </c>
      <c r="B1" s="109"/>
      <c r="C1" s="109"/>
      <c r="D1" s="179"/>
      <c r="E1" s="179"/>
      <c r="F1" s="179"/>
      <c r="G1" s="180"/>
      <c r="H1" s="180"/>
      <c r="I1" s="181"/>
      <c r="J1" s="181"/>
    </row>
    <row r="2" spans="1:10" ht="15.75" x14ac:dyDescent="0.25">
      <c r="A2" s="126" t="str">
        <f>'RECAP #9433.00'!B2</f>
        <v>Project # 9433.00</v>
      </c>
      <c r="B2" s="182"/>
      <c r="C2" s="182"/>
      <c r="D2" s="179"/>
      <c r="E2" s="179"/>
      <c r="F2" s="179"/>
      <c r="G2" s="180"/>
      <c r="H2" s="180"/>
      <c r="I2" s="181"/>
      <c r="J2" s="181"/>
    </row>
    <row r="3" spans="1:10" ht="15.75" x14ac:dyDescent="0.25">
      <c r="A3" s="183" t="str">
        <f>'RECAP #9433.00'!B3</f>
        <v>Program code 943300</v>
      </c>
      <c r="B3" s="182"/>
      <c r="C3" s="182"/>
      <c r="D3" s="179"/>
      <c r="E3" s="184" t="str">
        <f>'RECAP #9433.00'!E3</f>
        <v>Major Program 4E02</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#9433.00'!B6</f>
        <v>Project Manager - Jennifer K.</v>
      </c>
      <c r="B6" s="126"/>
      <c r="C6" s="126"/>
      <c r="D6" s="188"/>
      <c r="E6" s="132" t="s">
        <v>141</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61" customFormat="1" ht="12.75" customHeight="1" x14ac:dyDescent="0.25">
      <c r="A9" s="563"/>
      <c r="B9" s="500"/>
      <c r="C9" s="500"/>
      <c r="D9" s="515" t="s">
        <v>92</v>
      </c>
      <c r="E9" s="404">
        <f>8800+1000+47.35</f>
        <v>9847.35</v>
      </c>
      <c r="F9" s="502">
        <f>E9</f>
        <v>9847.35</v>
      </c>
      <c r="G9" s="503"/>
      <c r="H9" s="503"/>
      <c r="I9" s="503">
        <f>F9</f>
        <v>9847.35</v>
      </c>
      <c r="J9" s="504"/>
    </row>
    <row r="10" spans="1:10" s="361" customFormat="1" ht="12.75" customHeight="1" x14ac:dyDescent="0.25">
      <c r="A10" s="564" t="s">
        <v>274</v>
      </c>
      <c r="B10" s="500">
        <v>45574</v>
      </c>
      <c r="C10" s="565">
        <v>2507</v>
      </c>
      <c r="D10" s="515" t="s">
        <v>293</v>
      </c>
      <c r="E10" s="502"/>
      <c r="F10" s="502">
        <f t="shared" ref="F10:F46" si="0">F9+E10</f>
        <v>9847.35</v>
      </c>
      <c r="G10" s="406">
        <f>86.78+31.55</f>
        <v>118.33</v>
      </c>
      <c r="H10" s="503">
        <f t="shared" ref="H10:H46" si="1">H9+G10</f>
        <v>118.33</v>
      </c>
      <c r="I10" s="503">
        <f t="shared" ref="I10:I46" si="2">I9-G10+E10</f>
        <v>9729.02</v>
      </c>
      <c r="J10" s="504"/>
    </row>
    <row r="11" spans="1:10" s="361" customFormat="1" ht="12.75" customHeight="1" x14ac:dyDescent="0.25">
      <c r="A11" s="564" t="s">
        <v>274</v>
      </c>
      <c r="B11" s="500">
        <v>45574</v>
      </c>
      <c r="C11" s="565">
        <v>9500</v>
      </c>
      <c r="D11" s="515" t="s">
        <v>294</v>
      </c>
      <c r="E11" s="502"/>
      <c r="F11" s="502">
        <f t="shared" si="0"/>
        <v>9847.35</v>
      </c>
      <c r="G11" s="406">
        <f>68+983.4</f>
        <v>1051.4000000000001</v>
      </c>
      <c r="H11" s="503">
        <f t="shared" si="1"/>
        <v>1169.73</v>
      </c>
      <c r="I11" s="503">
        <f t="shared" si="2"/>
        <v>8677.6200000000008</v>
      </c>
      <c r="J11" s="504"/>
    </row>
    <row r="12" spans="1:10" s="361" customFormat="1" ht="12.75" customHeight="1" x14ac:dyDescent="0.25">
      <c r="A12" s="564" t="s">
        <v>314</v>
      </c>
      <c r="B12" s="500">
        <v>45603</v>
      </c>
      <c r="C12" s="565">
        <v>2507</v>
      </c>
      <c r="D12" s="515" t="s">
        <v>315</v>
      </c>
      <c r="E12" s="502"/>
      <c r="F12" s="502">
        <f t="shared" si="0"/>
        <v>9847.35</v>
      </c>
      <c r="G12" s="406">
        <f>38.94+79.24</f>
        <v>118.17999999999999</v>
      </c>
      <c r="H12" s="503">
        <f t="shared" si="1"/>
        <v>1287.9100000000001</v>
      </c>
      <c r="I12" s="503">
        <f t="shared" si="2"/>
        <v>8559.44</v>
      </c>
      <c r="J12" s="504"/>
    </row>
    <row r="13" spans="1:10" s="361" customFormat="1" ht="12.75" customHeight="1" x14ac:dyDescent="0.25">
      <c r="A13" s="564" t="s">
        <v>314</v>
      </c>
      <c r="B13" s="500">
        <v>45603</v>
      </c>
      <c r="C13" s="565">
        <v>9500</v>
      </c>
      <c r="D13" s="515" t="s">
        <v>316</v>
      </c>
      <c r="E13" s="502"/>
      <c r="F13" s="502">
        <f t="shared" si="0"/>
        <v>9847.35</v>
      </c>
      <c r="G13" s="406">
        <f>62.5+729.3</f>
        <v>791.8</v>
      </c>
      <c r="H13" s="503">
        <f t="shared" si="1"/>
        <v>2079.71</v>
      </c>
      <c r="I13" s="503">
        <f t="shared" si="2"/>
        <v>7767.64</v>
      </c>
      <c r="J13" s="504"/>
    </row>
    <row r="14" spans="1:10" s="361" customFormat="1" ht="12.75" customHeight="1" x14ac:dyDescent="0.25">
      <c r="A14" s="564" t="s">
        <v>343</v>
      </c>
      <c r="B14" s="351">
        <v>45635</v>
      </c>
      <c r="C14" s="357">
        <v>2507</v>
      </c>
      <c r="D14" s="352" t="s">
        <v>344</v>
      </c>
      <c r="E14" s="502"/>
      <c r="F14" s="502">
        <f t="shared" si="0"/>
        <v>9847.35</v>
      </c>
      <c r="G14" s="406">
        <f>10.16+18.23</f>
        <v>28.39</v>
      </c>
      <c r="H14" s="503">
        <f t="shared" si="1"/>
        <v>2108.1</v>
      </c>
      <c r="I14" s="503">
        <f t="shared" si="2"/>
        <v>7739.25</v>
      </c>
      <c r="J14" s="504"/>
    </row>
    <row r="15" spans="1:10" s="361" customFormat="1" ht="12.75" customHeight="1" x14ac:dyDescent="0.25">
      <c r="A15" s="564" t="s">
        <v>343</v>
      </c>
      <c r="B15" s="351">
        <v>45635</v>
      </c>
      <c r="C15" s="357">
        <v>9500</v>
      </c>
      <c r="D15" s="352" t="s">
        <v>345</v>
      </c>
      <c r="E15" s="502"/>
      <c r="F15" s="502">
        <f t="shared" si="0"/>
        <v>9847.35</v>
      </c>
      <c r="G15" s="406">
        <f>12.5+174.9</f>
        <v>187.4</v>
      </c>
      <c r="H15" s="503">
        <f t="shared" si="1"/>
        <v>2295.5</v>
      </c>
      <c r="I15" s="503">
        <f t="shared" si="2"/>
        <v>7551.85</v>
      </c>
      <c r="J15" s="504"/>
    </row>
    <row r="16" spans="1:10" s="361" customFormat="1" ht="12.75" customHeight="1" x14ac:dyDescent="0.25">
      <c r="A16" s="564" t="s">
        <v>404</v>
      </c>
      <c r="B16" s="351">
        <v>45666</v>
      </c>
      <c r="C16" s="357">
        <v>2507</v>
      </c>
      <c r="D16" s="352" t="s">
        <v>405</v>
      </c>
      <c r="E16" s="502"/>
      <c r="F16" s="502">
        <f t="shared" si="0"/>
        <v>9847.35</v>
      </c>
      <c r="G16" s="406">
        <f>22.86+27.35</f>
        <v>50.21</v>
      </c>
      <c r="H16" s="503">
        <f t="shared" si="1"/>
        <v>2345.71</v>
      </c>
      <c r="I16" s="503">
        <f t="shared" si="2"/>
        <v>7501.64</v>
      </c>
      <c r="J16" s="504"/>
    </row>
    <row r="17" spans="1:10" s="361" customFormat="1" ht="12.75" customHeight="1" x14ac:dyDescent="0.25">
      <c r="A17" s="564" t="s">
        <v>404</v>
      </c>
      <c r="B17" s="351">
        <v>45666</v>
      </c>
      <c r="C17" s="357">
        <v>9500</v>
      </c>
      <c r="D17" s="352" t="s">
        <v>406</v>
      </c>
      <c r="E17" s="502"/>
      <c r="F17" s="502">
        <f t="shared" si="0"/>
        <v>9847.35</v>
      </c>
      <c r="G17" s="406">
        <f>36+464.2</f>
        <v>500.2</v>
      </c>
      <c r="H17" s="503">
        <f t="shared" si="1"/>
        <v>2845.91</v>
      </c>
      <c r="I17" s="503">
        <f t="shared" si="2"/>
        <v>7001.4400000000005</v>
      </c>
      <c r="J17" s="504"/>
    </row>
    <row r="18" spans="1:10" s="361" customFormat="1" ht="12.75" customHeight="1" x14ac:dyDescent="0.25">
      <c r="A18" s="564" t="s">
        <v>506</v>
      </c>
      <c r="B18" s="351">
        <v>45699</v>
      </c>
      <c r="C18" s="357">
        <v>2507</v>
      </c>
      <c r="D18" s="352" t="s">
        <v>507</v>
      </c>
      <c r="E18" s="502"/>
      <c r="F18" s="502">
        <f t="shared" si="0"/>
        <v>9847.35</v>
      </c>
      <c r="G18" s="406">
        <f>8.89+10.52</f>
        <v>19.41</v>
      </c>
      <c r="H18" s="503">
        <f t="shared" si="1"/>
        <v>2865.3199999999997</v>
      </c>
      <c r="I18" s="503">
        <f t="shared" si="2"/>
        <v>6982.0300000000007</v>
      </c>
      <c r="J18" s="504"/>
    </row>
    <row r="19" spans="1:10" s="361" customFormat="1" ht="12.75" customHeight="1" x14ac:dyDescent="0.25">
      <c r="A19" s="564" t="s">
        <v>506</v>
      </c>
      <c r="B19" s="351">
        <v>45699</v>
      </c>
      <c r="C19" s="357">
        <v>9500</v>
      </c>
      <c r="D19" s="352" t="s">
        <v>508</v>
      </c>
      <c r="E19" s="502"/>
      <c r="F19" s="502">
        <f t="shared" si="0"/>
        <v>9847.35</v>
      </c>
      <c r="G19" s="406">
        <f>13+195.8</f>
        <v>208.8</v>
      </c>
      <c r="H19" s="503">
        <f t="shared" si="1"/>
        <v>3074.12</v>
      </c>
      <c r="I19" s="503">
        <f t="shared" si="2"/>
        <v>6773.2300000000005</v>
      </c>
      <c r="J19" s="504"/>
    </row>
    <row r="20" spans="1:10" s="361" customFormat="1" ht="12.75" customHeight="1" x14ac:dyDescent="0.25">
      <c r="A20" s="564" t="s">
        <v>559</v>
      </c>
      <c r="B20" s="500">
        <v>45723</v>
      </c>
      <c r="C20" s="565">
        <v>2507</v>
      </c>
      <c r="D20" s="352" t="s">
        <v>560</v>
      </c>
      <c r="E20" s="502"/>
      <c r="F20" s="502">
        <f t="shared" si="0"/>
        <v>9847.35</v>
      </c>
      <c r="G20" s="406">
        <f>27.09+98.17</f>
        <v>125.26</v>
      </c>
      <c r="H20" s="503">
        <f t="shared" si="1"/>
        <v>3199.38</v>
      </c>
      <c r="I20" s="503">
        <f t="shared" si="2"/>
        <v>6647.97</v>
      </c>
      <c r="J20" s="504"/>
    </row>
    <row r="21" spans="1:10" s="361" customFormat="1" ht="12.75" customHeight="1" x14ac:dyDescent="0.25">
      <c r="A21" s="564" t="s">
        <v>559</v>
      </c>
      <c r="B21" s="500">
        <v>45723</v>
      </c>
      <c r="C21" s="565">
        <v>9500</v>
      </c>
      <c r="D21" s="352" t="s">
        <v>561</v>
      </c>
      <c r="E21" s="502"/>
      <c r="F21" s="502">
        <f t="shared" si="0"/>
        <v>9847.35</v>
      </c>
      <c r="G21" s="406">
        <f>37.5+503.8</f>
        <v>541.29999999999995</v>
      </c>
      <c r="H21" s="503">
        <f t="shared" si="1"/>
        <v>3740.6800000000003</v>
      </c>
      <c r="I21" s="503">
        <f t="shared" si="2"/>
        <v>6106.67</v>
      </c>
      <c r="J21" s="504"/>
    </row>
    <row r="22" spans="1:10" s="361" customFormat="1" ht="12.75" customHeight="1" x14ac:dyDescent="0.25">
      <c r="A22" s="564" t="s">
        <v>656</v>
      </c>
      <c r="B22" s="500">
        <v>45756</v>
      </c>
      <c r="C22" s="565">
        <v>2507</v>
      </c>
      <c r="D22" s="352" t="s">
        <v>657</v>
      </c>
      <c r="E22" s="502"/>
      <c r="F22" s="502">
        <f t="shared" si="0"/>
        <v>9847.35</v>
      </c>
      <c r="G22" s="406">
        <f>32.59+47.68</f>
        <v>80.27000000000001</v>
      </c>
      <c r="H22" s="503">
        <f t="shared" si="1"/>
        <v>3820.9500000000003</v>
      </c>
      <c r="I22" s="503">
        <f t="shared" si="2"/>
        <v>6026.4</v>
      </c>
      <c r="J22" s="504"/>
    </row>
    <row r="23" spans="1:10" s="361" customFormat="1" ht="12.75" customHeight="1" x14ac:dyDescent="0.25">
      <c r="A23" s="564" t="s">
        <v>656</v>
      </c>
      <c r="B23" s="500">
        <v>45756</v>
      </c>
      <c r="C23" s="565">
        <v>9500</v>
      </c>
      <c r="D23" s="352" t="s">
        <v>658</v>
      </c>
      <c r="E23" s="502"/>
      <c r="F23" s="502">
        <f t="shared" si="0"/>
        <v>9847.35</v>
      </c>
      <c r="G23" s="406">
        <f>45+530.2</f>
        <v>575.20000000000005</v>
      </c>
      <c r="H23" s="503">
        <f t="shared" si="1"/>
        <v>4396.1500000000005</v>
      </c>
      <c r="I23" s="503">
        <f t="shared" si="2"/>
        <v>5451.2</v>
      </c>
      <c r="J23" s="504"/>
    </row>
    <row r="24" spans="1:10" s="361" customFormat="1" ht="12.75" customHeight="1" x14ac:dyDescent="0.25">
      <c r="A24" s="564" t="s">
        <v>727</v>
      </c>
      <c r="B24" s="500">
        <v>45786</v>
      </c>
      <c r="C24" s="565">
        <v>2507</v>
      </c>
      <c r="D24" s="352" t="s">
        <v>729</v>
      </c>
      <c r="E24" s="502"/>
      <c r="F24" s="502">
        <f t="shared" si="0"/>
        <v>9847.35</v>
      </c>
      <c r="G24" s="406">
        <f>30.05+39.97</f>
        <v>70.02</v>
      </c>
      <c r="H24" s="503">
        <f t="shared" si="1"/>
        <v>4466.170000000001</v>
      </c>
      <c r="I24" s="503">
        <f t="shared" si="2"/>
        <v>5381.1799999999994</v>
      </c>
      <c r="J24" s="504"/>
    </row>
    <row r="25" spans="1:10" s="361" customFormat="1" ht="12.75" customHeight="1" x14ac:dyDescent="0.25">
      <c r="A25" s="564" t="s">
        <v>727</v>
      </c>
      <c r="B25" s="500">
        <v>45786</v>
      </c>
      <c r="C25" s="565">
        <v>9500</v>
      </c>
      <c r="D25" s="352" t="s">
        <v>730</v>
      </c>
      <c r="E25" s="502"/>
      <c r="F25" s="502">
        <f t="shared" si="0"/>
        <v>9847.35</v>
      </c>
      <c r="G25" s="406">
        <f>37.5+443.3</f>
        <v>480.8</v>
      </c>
      <c r="H25" s="503">
        <f t="shared" si="1"/>
        <v>4946.9700000000012</v>
      </c>
      <c r="I25" s="503">
        <f t="shared" si="2"/>
        <v>4900.3799999999992</v>
      </c>
      <c r="J25" s="504"/>
    </row>
    <row r="26" spans="1:10" s="361" customFormat="1" ht="12.75" customHeight="1" x14ac:dyDescent="0.25">
      <c r="A26" s="564" t="s">
        <v>822</v>
      </c>
      <c r="B26" s="500">
        <v>45817</v>
      </c>
      <c r="C26" s="565">
        <v>2507</v>
      </c>
      <c r="D26" s="352" t="s">
        <v>823</v>
      </c>
      <c r="E26" s="502"/>
      <c r="F26" s="502">
        <f t="shared" si="0"/>
        <v>9847.35</v>
      </c>
      <c r="G26" s="406">
        <f>52.07+42.77</f>
        <v>94.84</v>
      </c>
      <c r="H26" s="503">
        <f t="shared" si="1"/>
        <v>5041.8100000000013</v>
      </c>
      <c r="I26" s="503">
        <f t="shared" si="2"/>
        <v>4805.5399999999991</v>
      </c>
      <c r="J26" s="504"/>
    </row>
    <row r="27" spans="1:10" s="361" customFormat="1" ht="12.75" customHeight="1" x14ac:dyDescent="0.25">
      <c r="A27" s="564" t="s">
        <v>822</v>
      </c>
      <c r="B27" s="500">
        <v>45817</v>
      </c>
      <c r="C27" s="565">
        <v>9500</v>
      </c>
      <c r="D27" s="352" t="s">
        <v>824</v>
      </c>
      <c r="E27" s="502"/>
      <c r="F27" s="502">
        <f t="shared" si="0"/>
        <v>9847.35</v>
      </c>
      <c r="G27" s="406">
        <f>60.5+680.9</f>
        <v>741.4</v>
      </c>
      <c r="H27" s="503">
        <f t="shared" si="1"/>
        <v>5783.2100000000009</v>
      </c>
      <c r="I27" s="503">
        <f t="shared" si="2"/>
        <v>4064.139999999999</v>
      </c>
      <c r="J27" s="504"/>
    </row>
    <row r="28" spans="1:10" s="361" customFormat="1" ht="12.75" customHeight="1" x14ac:dyDescent="0.25">
      <c r="A28" s="564" t="s">
        <v>942</v>
      </c>
      <c r="B28" s="500">
        <v>45848</v>
      </c>
      <c r="C28" s="565">
        <v>2507</v>
      </c>
      <c r="D28" s="352" t="s">
        <v>943</v>
      </c>
      <c r="E28" s="502"/>
      <c r="F28" s="502">
        <f t="shared" si="0"/>
        <v>9847.35</v>
      </c>
      <c r="G28" s="406">
        <f>4.66+5.61</f>
        <v>10.27</v>
      </c>
      <c r="H28" s="503">
        <f t="shared" si="1"/>
        <v>5793.4800000000014</v>
      </c>
      <c r="I28" s="503">
        <f t="shared" si="2"/>
        <v>4053.869999999999</v>
      </c>
      <c r="J28" s="504"/>
    </row>
    <row r="29" spans="1:10" s="361" customFormat="1" ht="12.75" customHeight="1" x14ac:dyDescent="0.25">
      <c r="A29" s="564" t="s">
        <v>942</v>
      </c>
      <c r="B29" s="500">
        <v>45848</v>
      </c>
      <c r="C29" s="565">
        <v>9500</v>
      </c>
      <c r="D29" s="352" t="s">
        <v>944</v>
      </c>
      <c r="E29" s="502"/>
      <c r="F29" s="502">
        <f t="shared" si="0"/>
        <v>9847.35</v>
      </c>
      <c r="G29" s="406">
        <f>7+74.8</f>
        <v>81.8</v>
      </c>
      <c r="H29" s="503">
        <f t="shared" si="1"/>
        <v>5875.2800000000016</v>
      </c>
      <c r="I29" s="503">
        <f t="shared" si="2"/>
        <v>3972.0699999999988</v>
      </c>
      <c r="J29" s="504"/>
    </row>
    <row r="30" spans="1:10" s="361" customFormat="1" ht="12.75" customHeight="1" x14ac:dyDescent="0.25">
      <c r="A30" s="564" t="s">
        <v>1009</v>
      </c>
      <c r="B30" s="500">
        <v>45876</v>
      </c>
      <c r="C30" s="565">
        <v>2507</v>
      </c>
      <c r="D30" s="352" t="s">
        <v>1010</v>
      </c>
      <c r="E30" s="502"/>
      <c r="F30" s="502">
        <f t="shared" si="0"/>
        <v>9847.35</v>
      </c>
      <c r="G30" s="406">
        <f>7.12+9.95</f>
        <v>17.07</v>
      </c>
      <c r="H30" s="503">
        <f t="shared" si="1"/>
        <v>5892.3500000000013</v>
      </c>
      <c r="I30" s="503">
        <f t="shared" si="2"/>
        <v>3954.9999999999986</v>
      </c>
      <c r="J30" s="504"/>
    </row>
    <row r="31" spans="1:10" s="361" customFormat="1" ht="12.75" customHeight="1" x14ac:dyDescent="0.25">
      <c r="A31" s="564" t="s">
        <v>1009</v>
      </c>
      <c r="B31" s="500">
        <v>45876</v>
      </c>
      <c r="C31" s="565">
        <v>9500</v>
      </c>
      <c r="D31" s="352" t="s">
        <v>1011</v>
      </c>
      <c r="E31" s="502"/>
      <c r="F31" s="502">
        <f t="shared" si="0"/>
        <v>9847.35</v>
      </c>
      <c r="G31" s="406">
        <f>12+177.1</f>
        <v>189.1</v>
      </c>
      <c r="H31" s="503">
        <f t="shared" si="1"/>
        <v>6081.4500000000016</v>
      </c>
      <c r="I31" s="503">
        <f t="shared" si="2"/>
        <v>3765.8999999999987</v>
      </c>
      <c r="J31" s="504"/>
    </row>
    <row r="32" spans="1:10" s="361" customFormat="1" ht="12.75" customHeight="1" x14ac:dyDescent="0.25">
      <c r="A32" s="564" t="s">
        <v>1177</v>
      </c>
      <c r="B32" s="500">
        <v>45908</v>
      </c>
      <c r="C32" s="565">
        <v>2507</v>
      </c>
      <c r="D32" s="352" t="s">
        <v>1182</v>
      </c>
      <c r="E32" s="502"/>
      <c r="F32" s="502">
        <f t="shared" si="0"/>
        <v>9847.35</v>
      </c>
      <c r="G32" s="406">
        <v>56.82</v>
      </c>
      <c r="H32" s="503">
        <f t="shared" si="1"/>
        <v>6138.2700000000013</v>
      </c>
      <c r="I32" s="503">
        <f t="shared" si="2"/>
        <v>3709.0799999999986</v>
      </c>
      <c r="J32" s="504"/>
    </row>
    <row r="33" spans="1:10" s="361" customFormat="1" ht="12.75" customHeight="1" x14ac:dyDescent="0.25">
      <c r="A33" s="564" t="s">
        <v>1177</v>
      </c>
      <c r="B33" s="500">
        <v>45908</v>
      </c>
      <c r="C33" s="565">
        <v>9500</v>
      </c>
      <c r="D33" s="352" t="s">
        <v>1181</v>
      </c>
      <c r="E33" s="502"/>
      <c r="F33" s="502">
        <f t="shared" si="0"/>
        <v>9847.35</v>
      </c>
      <c r="G33" s="406">
        <v>434.6</v>
      </c>
      <c r="H33" s="503">
        <f t="shared" si="1"/>
        <v>6572.8700000000017</v>
      </c>
      <c r="I33" s="503">
        <f t="shared" si="2"/>
        <v>3274.4799999999987</v>
      </c>
      <c r="J33" s="504"/>
    </row>
    <row r="34" spans="1:10" s="361" customFormat="1" ht="12.75" customHeight="1" x14ac:dyDescent="0.25">
      <c r="A34" s="564" t="s">
        <v>1233</v>
      </c>
      <c r="B34" s="500">
        <v>45937</v>
      </c>
      <c r="C34" s="565" t="s">
        <v>1234</v>
      </c>
      <c r="D34" s="352" t="s">
        <v>1235</v>
      </c>
      <c r="E34" s="502"/>
      <c r="F34" s="502">
        <f t="shared" si="0"/>
        <v>9847.35</v>
      </c>
      <c r="G34" s="406">
        <v>75.62</v>
      </c>
      <c r="H34" s="503">
        <f t="shared" si="1"/>
        <v>6648.4900000000016</v>
      </c>
      <c r="I34" s="503">
        <f t="shared" si="2"/>
        <v>3198.8599999999988</v>
      </c>
      <c r="J34" s="504"/>
    </row>
    <row r="35" spans="1:10" s="361" customFormat="1" ht="12.75" customHeight="1" x14ac:dyDescent="0.25">
      <c r="A35" s="564" t="s">
        <v>1233</v>
      </c>
      <c r="B35" s="500">
        <v>45937</v>
      </c>
      <c r="C35" s="565">
        <v>9500</v>
      </c>
      <c r="D35" s="352" t="s">
        <v>1236</v>
      </c>
      <c r="E35" s="502"/>
      <c r="F35" s="502">
        <f t="shared" si="0"/>
        <v>9847.35</v>
      </c>
      <c r="G35" s="406">
        <v>387.3</v>
      </c>
      <c r="H35" s="503">
        <f t="shared" si="1"/>
        <v>7035.7900000000018</v>
      </c>
      <c r="I35" s="503">
        <f t="shared" si="2"/>
        <v>2811.5599999999986</v>
      </c>
      <c r="J35" s="504"/>
    </row>
    <row r="36" spans="1:10" s="361" customFormat="1" ht="12.75" customHeight="1" x14ac:dyDescent="0.25">
      <c r="A36" s="564" t="s">
        <v>1322</v>
      </c>
      <c r="B36" s="500">
        <v>45968</v>
      </c>
      <c r="C36" s="565" t="s">
        <v>1234</v>
      </c>
      <c r="D36" s="352" t="s">
        <v>1327</v>
      </c>
      <c r="E36" s="502"/>
      <c r="F36" s="502">
        <f t="shared" si="0"/>
        <v>9847.35</v>
      </c>
      <c r="G36" s="406">
        <v>99.15</v>
      </c>
      <c r="H36" s="503">
        <f t="shared" si="1"/>
        <v>7134.9400000000014</v>
      </c>
      <c r="I36" s="503">
        <f t="shared" si="2"/>
        <v>2712.4099999999985</v>
      </c>
      <c r="J36" s="504"/>
    </row>
    <row r="37" spans="1:10" s="361" customFormat="1" ht="12.75" customHeight="1" x14ac:dyDescent="0.25">
      <c r="A37" s="564" t="s">
        <v>1322</v>
      </c>
      <c r="B37" s="500">
        <v>45968</v>
      </c>
      <c r="C37" s="565">
        <v>9500</v>
      </c>
      <c r="D37" s="352" t="s">
        <v>1326</v>
      </c>
      <c r="E37" s="502"/>
      <c r="F37" s="502">
        <f t="shared" si="0"/>
        <v>9847.35</v>
      </c>
      <c r="G37" s="406">
        <v>982.3</v>
      </c>
      <c r="H37" s="503">
        <f t="shared" si="1"/>
        <v>8117.2400000000016</v>
      </c>
      <c r="I37" s="503">
        <f t="shared" si="2"/>
        <v>1730.1099999999985</v>
      </c>
      <c r="J37" s="504"/>
    </row>
    <row r="38" spans="1:10" s="361" customFormat="1" ht="12.75" customHeight="1" x14ac:dyDescent="0.25">
      <c r="A38" s="564" t="s">
        <v>1423</v>
      </c>
      <c r="B38" s="500">
        <v>45996</v>
      </c>
      <c r="C38" s="502" t="s">
        <v>1234</v>
      </c>
      <c r="D38" s="352" t="s">
        <v>1424</v>
      </c>
      <c r="E38" s="502"/>
      <c r="F38" s="502">
        <f t="shared" si="0"/>
        <v>9847.35</v>
      </c>
      <c r="G38" s="406">
        <v>44.83</v>
      </c>
      <c r="H38" s="503">
        <f t="shared" si="1"/>
        <v>8162.0700000000015</v>
      </c>
      <c r="I38" s="503">
        <f t="shared" si="2"/>
        <v>1685.2799999999986</v>
      </c>
      <c r="J38" s="504"/>
    </row>
    <row r="39" spans="1:10" s="361" customFormat="1" ht="12.75" customHeight="1" x14ac:dyDescent="0.25">
      <c r="A39" s="564" t="s">
        <v>1423</v>
      </c>
      <c r="B39" s="500">
        <v>45996</v>
      </c>
      <c r="C39" s="583">
        <v>9500</v>
      </c>
      <c r="D39" s="352" t="s">
        <v>1425</v>
      </c>
      <c r="E39" s="502"/>
      <c r="F39" s="502">
        <f t="shared" si="0"/>
        <v>9847.35</v>
      </c>
      <c r="G39" s="406">
        <v>288.7</v>
      </c>
      <c r="H39" s="503">
        <f t="shared" si="1"/>
        <v>8450.7700000000023</v>
      </c>
      <c r="I39" s="503">
        <f t="shared" si="2"/>
        <v>1396.5799999999986</v>
      </c>
      <c r="J39" s="504"/>
    </row>
    <row r="40" spans="1:10" s="361" customFormat="1" ht="12.75" customHeight="1" x14ac:dyDescent="0.2">
      <c r="A40" s="336" t="s">
        <v>1482</v>
      </c>
      <c r="B40" s="196">
        <v>46030</v>
      </c>
      <c r="C40" s="199" t="s">
        <v>1234</v>
      </c>
      <c r="D40" s="292" t="s">
        <v>1483</v>
      </c>
      <c r="E40" s="502"/>
      <c r="F40" s="502">
        <f t="shared" si="0"/>
        <v>9847.35</v>
      </c>
      <c r="G40" s="406">
        <v>34.51</v>
      </c>
      <c r="H40" s="503">
        <f t="shared" si="1"/>
        <v>8485.2800000000025</v>
      </c>
      <c r="I40" s="503">
        <f t="shared" si="2"/>
        <v>1362.0699999999986</v>
      </c>
      <c r="J40" s="504"/>
    </row>
    <row r="41" spans="1:10" s="361" customFormat="1" ht="12.75" customHeight="1" x14ac:dyDescent="0.2">
      <c r="A41" s="336" t="s">
        <v>1482</v>
      </c>
      <c r="B41" s="196">
        <v>46030</v>
      </c>
      <c r="C41" s="376">
        <v>9500</v>
      </c>
      <c r="D41" s="292" t="s">
        <v>1484</v>
      </c>
      <c r="E41" s="502"/>
      <c r="F41" s="502">
        <f t="shared" si="0"/>
        <v>9847.35</v>
      </c>
      <c r="G41" s="406">
        <v>389.3</v>
      </c>
      <c r="H41" s="503">
        <f t="shared" si="1"/>
        <v>8874.5800000000017</v>
      </c>
      <c r="I41" s="503">
        <f t="shared" si="2"/>
        <v>972.76999999999862</v>
      </c>
      <c r="J41" s="504"/>
    </row>
    <row r="42" spans="1:10" s="361" customFormat="1" ht="12.75" customHeight="1" x14ac:dyDescent="0.2">
      <c r="A42" s="336" t="s">
        <v>1545</v>
      </c>
      <c r="B42" s="196">
        <v>46062</v>
      </c>
      <c r="C42" s="199" t="s">
        <v>1234</v>
      </c>
      <c r="D42" s="292" t="s">
        <v>1546</v>
      </c>
      <c r="E42" s="502"/>
      <c r="F42" s="502">
        <f t="shared" si="0"/>
        <v>9847.35</v>
      </c>
      <c r="G42" s="406">
        <v>21.39</v>
      </c>
      <c r="H42" s="503">
        <f t="shared" si="1"/>
        <v>8895.9700000000012</v>
      </c>
      <c r="I42" s="503">
        <f t="shared" si="2"/>
        <v>951.37999999999863</v>
      </c>
      <c r="J42" s="504"/>
    </row>
    <row r="43" spans="1:10" s="361" customFormat="1" ht="12.75" customHeight="1" x14ac:dyDescent="0.2">
      <c r="A43" s="336" t="s">
        <v>1545</v>
      </c>
      <c r="B43" s="196">
        <v>46062</v>
      </c>
      <c r="C43" s="376">
        <v>9500</v>
      </c>
      <c r="D43" s="292" t="s">
        <v>1547</v>
      </c>
      <c r="E43" s="502"/>
      <c r="F43" s="502">
        <f t="shared" si="0"/>
        <v>9847.35</v>
      </c>
      <c r="G43" s="406">
        <v>270.10000000000002</v>
      </c>
      <c r="H43" s="503">
        <f t="shared" si="1"/>
        <v>9166.0700000000015</v>
      </c>
      <c r="I43" s="503">
        <f t="shared" si="2"/>
        <v>681.27999999999861</v>
      </c>
      <c r="J43" s="504"/>
    </row>
    <row r="44" spans="1:10" s="361" customFormat="1" ht="12.75" customHeight="1" x14ac:dyDescent="0.2">
      <c r="A44" s="336" t="s">
        <v>1663</v>
      </c>
      <c r="B44" s="196">
        <v>46090</v>
      </c>
      <c r="C44" s="199" t="s">
        <v>1234</v>
      </c>
      <c r="D44" s="292" t="s">
        <v>1664</v>
      </c>
      <c r="E44" s="502"/>
      <c r="F44" s="502">
        <f t="shared" si="0"/>
        <v>9847.35</v>
      </c>
      <c r="G44" s="406">
        <v>54.18</v>
      </c>
      <c r="H44" s="503">
        <f t="shared" si="1"/>
        <v>9220.2500000000018</v>
      </c>
      <c r="I44" s="503">
        <f t="shared" si="2"/>
        <v>627.09999999999866</v>
      </c>
      <c r="J44" s="504"/>
    </row>
    <row r="45" spans="1:10" s="361" customFormat="1" ht="12.75" customHeight="1" x14ac:dyDescent="0.2">
      <c r="A45" s="336" t="s">
        <v>1663</v>
      </c>
      <c r="B45" s="196">
        <v>46090</v>
      </c>
      <c r="C45" s="376">
        <v>9500</v>
      </c>
      <c r="D45" s="292" t="s">
        <v>1665</v>
      </c>
      <c r="E45" s="502"/>
      <c r="F45" s="502">
        <f t="shared" si="0"/>
        <v>9847.35</v>
      </c>
      <c r="G45" s="406">
        <v>627.1</v>
      </c>
      <c r="H45" s="503">
        <f t="shared" si="1"/>
        <v>9847.3500000000022</v>
      </c>
      <c r="I45" s="503">
        <f t="shared" si="2"/>
        <v>-1.3642420526593924E-12</v>
      </c>
      <c r="J45" s="504"/>
    </row>
    <row r="46" spans="1:10" s="361" customFormat="1" ht="12.75" customHeight="1" x14ac:dyDescent="0.25">
      <c r="A46" s="564"/>
      <c r="B46" s="500"/>
      <c r="C46" s="565"/>
      <c r="D46" s="352"/>
      <c r="E46" s="502"/>
      <c r="F46" s="502">
        <f t="shared" si="0"/>
        <v>9847.35</v>
      </c>
      <c r="G46" s="406"/>
      <c r="H46" s="503">
        <f t="shared" si="1"/>
        <v>9847.3500000000022</v>
      </c>
      <c r="I46" s="503">
        <f t="shared" si="2"/>
        <v>-1.3642420526593924E-12</v>
      </c>
      <c r="J46" s="504"/>
    </row>
    <row r="47" spans="1:10" s="361" customFormat="1" ht="12.75" customHeight="1" x14ac:dyDescent="0.25">
      <c r="A47" s="352"/>
      <c r="B47" s="501"/>
      <c r="C47" s="565"/>
      <c r="D47" s="515"/>
      <c r="E47" s="503"/>
      <c r="F47" s="503"/>
      <c r="G47" s="503"/>
      <c r="H47" s="503"/>
      <c r="I47" s="503"/>
      <c r="J47" s="504"/>
    </row>
    <row r="48" spans="1:10" s="361" customFormat="1" ht="12.75" customHeight="1" thickBot="1" x14ac:dyDescent="0.3">
      <c r="A48" s="352"/>
      <c r="B48" s="516"/>
      <c r="C48" s="565"/>
      <c r="D48" s="517" t="s">
        <v>54</v>
      </c>
      <c r="E48" s="405">
        <f>SUM(E9:E47)</f>
        <v>9847.35</v>
      </c>
      <c r="F48" s="405"/>
      <c r="G48" s="405">
        <f>SUM(G9:G47)</f>
        <v>9847.3500000000022</v>
      </c>
      <c r="H48" s="405"/>
      <c r="I48" s="405">
        <f>E48-G48</f>
        <v>0</v>
      </c>
      <c r="J48" s="504"/>
    </row>
    <row r="49" s="361" customFormat="1" ht="12.75" customHeight="1" thickTop="1" x14ac:dyDescent="0.25"/>
    <row r="50" s="361"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31">
    <tabColor rgb="FF0070C0"/>
    <pageSetUpPr fitToPage="1"/>
  </sheetPr>
  <dimension ref="A1:H25"/>
  <sheetViews>
    <sheetView tabSelected="1" zoomScaleNormal="100" workbookViewId="0">
      <selection activeCell="C38" sqref="C38"/>
    </sheetView>
  </sheetViews>
  <sheetFormatPr defaultColWidth="11.42578125" defaultRowHeight="15" customHeight="1" x14ac:dyDescent="0.25"/>
  <cols>
    <col min="1" max="1" width="23" style="282" customWidth="1"/>
    <col min="2" max="2" width="11" style="282" customWidth="1"/>
    <col min="3" max="3" width="8.5703125" style="282" customWidth="1"/>
    <col min="4" max="4" width="11.42578125" style="282" customWidth="1"/>
    <col min="5" max="5" width="34.42578125" style="282" customWidth="1"/>
    <col min="6" max="6" width="14.28515625" style="282" customWidth="1"/>
    <col min="7" max="7" width="12.42578125" style="282" customWidth="1"/>
    <col min="8" max="8" width="15.42578125" style="282" customWidth="1"/>
    <col min="9" max="16384" width="11.42578125" style="282"/>
  </cols>
  <sheetData>
    <row r="1" spans="1:8" ht="15.75" x14ac:dyDescent="0.25">
      <c r="A1" s="109" t="str">
        <f>'RECAP #9433.00'!B1</f>
        <v>HHS WRC Cottage Siding Replacement</v>
      </c>
      <c r="B1" s="109"/>
      <c r="C1" s="109"/>
      <c r="D1" s="109"/>
      <c r="E1" s="179"/>
      <c r="F1" s="179"/>
      <c r="G1" s="179"/>
      <c r="H1" s="180"/>
    </row>
    <row r="2" spans="1:8" ht="15.75" x14ac:dyDescent="0.25">
      <c r="A2" s="126" t="str">
        <f>'RECAP #9433.00'!B2</f>
        <v>Project # 9433.00</v>
      </c>
      <c r="B2" s="182"/>
      <c r="C2" s="182"/>
      <c r="D2" s="182"/>
      <c r="E2" s="179"/>
      <c r="F2" s="179"/>
      <c r="G2" s="179"/>
      <c r="H2" s="180"/>
    </row>
    <row r="3" spans="1:8" ht="15.75" x14ac:dyDescent="0.25">
      <c r="A3" s="183" t="str">
        <f>'RECAP #9433.00'!B3</f>
        <v>Program code 943300</v>
      </c>
      <c r="B3" s="182"/>
      <c r="C3" s="182"/>
      <c r="D3" s="182"/>
      <c r="E3" s="184" t="str">
        <f>'RECAP #9433.00'!E3</f>
        <v>Major Program 4E02</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#9433.00'!B6</f>
        <v>Project Manager - Jennifer K.</v>
      </c>
      <c r="B6" s="126"/>
      <c r="C6" s="126"/>
      <c r="D6" s="126"/>
      <c r="E6" s="184" t="s">
        <v>479</v>
      </c>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s="361" customFormat="1" ht="12.75" customHeight="1" x14ac:dyDescent="0.25">
      <c r="A9" s="514" t="s">
        <v>323</v>
      </c>
      <c r="B9" s="500">
        <v>45609</v>
      </c>
      <c r="C9" s="563" t="s">
        <v>321</v>
      </c>
      <c r="D9" s="563" t="s">
        <v>322</v>
      </c>
      <c r="E9" s="564" t="s">
        <v>319</v>
      </c>
      <c r="F9" s="584" t="s">
        <v>320</v>
      </c>
      <c r="G9" s="406">
        <v>1267.5</v>
      </c>
      <c r="H9" s="541">
        <f>G9</f>
        <v>1267.5</v>
      </c>
    </row>
    <row r="10" spans="1:8" s="361" customFormat="1" ht="12.75" customHeight="1" x14ac:dyDescent="0.25">
      <c r="A10" s="564" t="s">
        <v>695</v>
      </c>
      <c r="B10" s="500">
        <v>45772</v>
      </c>
      <c r="C10" s="563">
        <v>9500</v>
      </c>
      <c r="D10" s="563" t="s">
        <v>322</v>
      </c>
      <c r="E10" s="504" t="s">
        <v>696</v>
      </c>
      <c r="F10" s="571" t="s">
        <v>697</v>
      </c>
      <c r="G10" s="406">
        <v>206.35</v>
      </c>
      <c r="H10" s="541">
        <f>H9+G10</f>
        <v>1473.85</v>
      </c>
    </row>
    <row r="11" spans="1:8" s="361" customFormat="1" ht="12.75" customHeight="1" x14ac:dyDescent="0.25">
      <c r="A11" s="563"/>
      <c r="B11" s="500"/>
      <c r="C11" s="500"/>
      <c r="D11" s="500"/>
      <c r="E11" s="504"/>
      <c r="F11" s="555"/>
      <c r="G11" s="541"/>
      <c r="H11" s="541">
        <f t="shared" ref="H11:H20" si="0">H10+G11</f>
        <v>1473.85</v>
      </c>
    </row>
    <row r="12" spans="1:8" s="361" customFormat="1" ht="12.75" customHeight="1" x14ac:dyDescent="0.25">
      <c r="A12" s="563" t="s">
        <v>3</v>
      </c>
      <c r="B12" s="500" t="s">
        <v>3</v>
      </c>
      <c r="C12" s="500"/>
      <c r="D12" s="500"/>
      <c r="E12" s="504" t="s">
        <v>3</v>
      </c>
      <c r="F12" s="555"/>
      <c r="G12" s="541"/>
      <c r="H12" s="541">
        <f t="shared" si="0"/>
        <v>1473.85</v>
      </c>
    </row>
    <row r="13" spans="1:8" s="361" customFormat="1" ht="12.75" customHeight="1" x14ac:dyDescent="0.25">
      <c r="A13" s="563" t="s">
        <v>3</v>
      </c>
      <c r="B13" s="500" t="s">
        <v>3</v>
      </c>
      <c r="C13" s="500"/>
      <c r="D13" s="500"/>
      <c r="E13" s="504" t="s">
        <v>3</v>
      </c>
      <c r="F13" s="555"/>
      <c r="G13" s="541"/>
      <c r="H13" s="541">
        <f t="shared" si="0"/>
        <v>1473.85</v>
      </c>
    </row>
    <row r="14" spans="1:8" s="361" customFormat="1" ht="12.75" customHeight="1" x14ac:dyDescent="0.25">
      <c r="A14" s="563"/>
      <c r="B14" s="500"/>
      <c r="C14" s="500"/>
      <c r="D14" s="500"/>
      <c r="E14" s="504"/>
      <c r="F14" s="555"/>
      <c r="G14" s="541"/>
      <c r="H14" s="541">
        <f t="shared" si="0"/>
        <v>1473.85</v>
      </c>
    </row>
    <row r="15" spans="1:8" s="361" customFormat="1" ht="12.75" customHeight="1" x14ac:dyDescent="0.25">
      <c r="A15" s="563"/>
      <c r="B15" s="500"/>
      <c r="C15" s="500"/>
      <c r="D15" s="500"/>
      <c r="E15" s="533"/>
      <c r="F15" s="555"/>
      <c r="G15" s="541"/>
      <c r="H15" s="541">
        <f t="shared" si="0"/>
        <v>1473.85</v>
      </c>
    </row>
    <row r="16" spans="1:8" s="361" customFormat="1" ht="12.75" customHeight="1" x14ac:dyDescent="0.25">
      <c r="A16" s="563"/>
      <c r="B16" s="500"/>
      <c r="C16" s="500"/>
      <c r="D16" s="500"/>
      <c r="E16" s="504"/>
      <c r="F16" s="555"/>
      <c r="G16" s="541"/>
      <c r="H16" s="541">
        <f t="shared" si="0"/>
        <v>1473.85</v>
      </c>
    </row>
    <row r="17" spans="1:8" s="361" customFormat="1" ht="12.75" customHeight="1" x14ac:dyDescent="0.25">
      <c r="A17" s="499"/>
      <c r="B17" s="500"/>
      <c r="C17" s="500"/>
      <c r="D17" s="500"/>
      <c r="E17" s="504"/>
      <c r="F17" s="555"/>
      <c r="G17" s="541"/>
      <c r="H17" s="541">
        <f t="shared" si="0"/>
        <v>1473.85</v>
      </c>
    </row>
    <row r="18" spans="1:8" s="361" customFormat="1" ht="12.75" customHeight="1" x14ac:dyDescent="0.25">
      <c r="A18" s="499"/>
      <c r="B18" s="500"/>
      <c r="C18" s="500"/>
      <c r="D18" s="500"/>
      <c r="E18" s="504"/>
      <c r="F18" s="555"/>
      <c r="G18" s="541"/>
      <c r="H18" s="541">
        <f t="shared" si="0"/>
        <v>1473.85</v>
      </c>
    </row>
    <row r="19" spans="1:8" s="361" customFormat="1" ht="12.75" customHeight="1" x14ac:dyDescent="0.25">
      <c r="A19" s="499"/>
      <c r="B19" s="500"/>
      <c r="C19" s="500"/>
      <c r="D19" s="500"/>
      <c r="E19" s="504"/>
      <c r="F19" s="555"/>
      <c r="G19" s="541"/>
      <c r="H19" s="541">
        <f t="shared" si="0"/>
        <v>1473.85</v>
      </c>
    </row>
    <row r="20" spans="1:8" s="361" customFormat="1" ht="12.75" customHeight="1" x14ac:dyDescent="0.25">
      <c r="A20" s="499"/>
      <c r="B20" s="500"/>
      <c r="C20" s="500"/>
      <c r="D20" s="500"/>
      <c r="E20" s="504"/>
      <c r="F20" s="555"/>
      <c r="G20" s="541"/>
      <c r="H20" s="541">
        <f t="shared" si="0"/>
        <v>1473.85</v>
      </c>
    </row>
    <row r="21" spans="1:8" s="361" customFormat="1" ht="12.75" customHeight="1" x14ac:dyDescent="0.25">
      <c r="A21" s="499"/>
      <c r="B21" s="515"/>
      <c r="C21" s="515"/>
      <c r="D21" s="515"/>
      <c r="E21" s="504"/>
      <c r="F21" s="541"/>
      <c r="G21" s="504"/>
      <c r="H21" s="541"/>
    </row>
    <row r="22" spans="1:8" s="361" customFormat="1" ht="12.75" customHeight="1" thickBot="1" x14ac:dyDescent="0.3">
      <c r="A22" s="573"/>
      <c r="B22" s="518"/>
      <c r="C22" s="518"/>
      <c r="D22" s="518"/>
      <c r="E22" s="576" t="s">
        <v>54</v>
      </c>
      <c r="F22" s="577"/>
      <c r="G22" s="405">
        <f>SUM(G9:G21)</f>
        <v>1473.85</v>
      </c>
      <c r="H22" s="577"/>
    </row>
    <row r="23" spans="1:8" s="361" customFormat="1" ht="12.75" customHeight="1" thickTop="1" x14ac:dyDescent="0.25"/>
    <row r="24" spans="1:8" s="361" customFormat="1" ht="12.75" customHeight="1" x14ac:dyDescent="0.25"/>
    <row r="25" spans="1:8" s="361"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32">
    <tabColor rgb="FF0070C0"/>
    <pageSetUpPr fitToPage="1"/>
  </sheetPr>
  <dimension ref="A1:I31"/>
  <sheetViews>
    <sheetView tabSelected="1" topLeftCell="A4"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8.140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6.5703125" style="282" customWidth="1"/>
    <col min="10" max="16384" width="11.42578125" style="282"/>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251</v>
      </c>
      <c r="B4" s="126"/>
      <c r="C4" s="181"/>
      <c r="D4" s="185" t="s">
        <v>252</v>
      </c>
      <c r="E4" s="180"/>
      <c r="F4" s="180"/>
      <c r="G4" s="180"/>
      <c r="H4" s="181"/>
      <c r="I4" s="181"/>
    </row>
    <row r="5" spans="1:9" ht="15.75" x14ac:dyDescent="0.25">
      <c r="A5" s="186" t="s">
        <v>143</v>
      </c>
      <c r="B5" s="181"/>
      <c r="C5" s="187"/>
      <c r="D5" s="132" t="s">
        <v>253</v>
      </c>
      <c r="E5" s="137"/>
      <c r="F5" s="180"/>
      <c r="G5" s="180"/>
      <c r="H5" s="181"/>
      <c r="I5" s="181"/>
    </row>
    <row r="6" spans="1:9" ht="15.75" x14ac:dyDescent="0.25">
      <c r="A6" s="126" t="str">
        <f>'RECAP #9433.00'!B6</f>
        <v>Project Manager - Jennifer K.</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254</v>
      </c>
      <c r="B9" s="500">
        <v>45561</v>
      </c>
      <c r="C9" s="501" t="s">
        <v>107</v>
      </c>
      <c r="D9" s="404">
        <v>13800</v>
      </c>
      <c r="E9" s="502">
        <f>D9</f>
        <v>13800</v>
      </c>
      <c r="F9" s="503"/>
      <c r="G9" s="503"/>
      <c r="H9" s="503">
        <f>E9</f>
        <v>13800</v>
      </c>
      <c r="I9" s="504"/>
    </row>
    <row r="10" spans="1:9" s="361" customFormat="1" ht="12.75" customHeight="1" x14ac:dyDescent="0.25">
      <c r="A10" s="499" t="s">
        <v>377</v>
      </c>
      <c r="B10" s="365">
        <v>45660</v>
      </c>
      <c r="C10" s="501" t="s">
        <v>378</v>
      </c>
      <c r="D10" s="502"/>
      <c r="E10" s="502">
        <f t="shared" ref="E10:E21" si="0">E9+D10</f>
        <v>13800</v>
      </c>
      <c r="F10" s="406">
        <v>7400</v>
      </c>
      <c r="G10" s="503">
        <f t="shared" ref="G10:G21" si="1">G9+F10</f>
        <v>7400</v>
      </c>
      <c r="H10" s="503">
        <f t="shared" ref="H10:H21" si="2">H9-F10+D10</f>
        <v>6400</v>
      </c>
      <c r="I10" s="504"/>
    </row>
    <row r="11" spans="1:9" s="361" customFormat="1" ht="12.75" customHeight="1" x14ac:dyDescent="0.25">
      <c r="A11" s="499" t="s">
        <v>516</v>
      </c>
      <c r="B11" s="500">
        <v>45705</v>
      </c>
      <c r="C11" s="501" t="s">
        <v>517</v>
      </c>
      <c r="D11" s="502"/>
      <c r="E11" s="502">
        <f t="shared" si="0"/>
        <v>13800</v>
      </c>
      <c r="F11" s="406">
        <v>630</v>
      </c>
      <c r="G11" s="503">
        <f t="shared" si="1"/>
        <v>8030</v>
      </c>
      <c r="H11" s="503">
        <f t="shared" si="2"/>
        <v>5770</v>
      </c>
      <c r="I11" s="504"/>
    </row>
    <row r="12" spans="1:9" s="361" customFormat="1" ht="12.75" customHeight="1" x14ac:dyDescent="0.25">
      <c r="A12" s="499" t="s">
        <v>717</v>
      </c>
      <c r="B12" s="500">
        <v>45782</v>
      </c>
      <c r="C12" s="501" t="s">
        <v>718</v>
      </c>
      <c r="D12" s="502"/>
      <c r="E12" s="502">
        <f t="shared" si="0"/>
        <v>13800</v>
      </c>
      <c r="F12" s="406">
        <v>1270</v>
      </c>
      <c r="G12" s="503">
        <f t="shared" si="1"/>
        <v>9300</v>
      </c>
      <c r="H12" s="503">
        <f t="shared" si="2"/>
        <v>4500</v>
      </c>
      <c r="I12" s="504"/>
    </row>
    <row r="13" spans="1:9" s="361" customFormat="1" ht="12.75" customHeight="1" x14ac:dyDescent="0.25">
      <c r="A13" s="505" t="s">
        <v>912</v>
      </c>
      <c r="B13" s="532">
        <v>45841</v>
      </c>
      <c r="C13" s="507" t="s">
        <v>913</v>
      </c>
      <c r="D13" s="508"/>
      <c r="E13" s="508">
        <f t="shared" si="0"/>
        <v>13800</v>
      </c>
      <c r="F13" s="509">
        <v>675</v>
      </c>
      <c r="G13" s="510">
        <f t="shared" si="1"/>
        <v>9975</v>
      </c>
      <c r="H13" s="510">
        <f t="shared" si="2"/>
        <v>3825</v>
      </c>
      <c r="I13" s="511" t="s">
        <v>1015</v>
      </c>
    </row>
    <row r="14" spans="1:9" s="361" customFormat="1" ht="12.75" customHeight="1" x14ac:dyDescent="0.25">
      <c r="A14" s="499" t="s">
        <v>1047</v>
      </c>
      <c r="B14" s="500">
        <v>45890</v>
      </c>
      <c r="C14" s="501" t="s">
        <v>1017</v>
      </c>
      <c r="D14" s="512">
        <v>0</v>
      </c>
      <c r="E14" s="502">
        <f t="shared" si="0"/>
        <v>13800</v>
      </c>
      <c r="F14" s="406"/>
      <c r="G14" s="503">
        <f t="shared" si="1"/>
        <v>9975</v>
      </c>
      <c r="H14" s="503">
        <f t="shared" si="2"/>
        <v>3825</v>
      </c>
      <c r="I14" s="504"/>
    </row>
    <row r="15" spans="1:9" s="361" customFormat="1" ht="12.75" customHeight="1" x14ac:dyDescent="0.25">
      <c r="A15" s="499" t="s">
        <v>1377</v>
      </c>
      <c r="B15" s="500">
        <v>45994</v>
      </c>
      <c r="C15" s="501" t="s">
        <v>1378</v>
      </c>
      <c r="D15" s="502"/>
      <c r="E15" s="502">
        <f t="shared" si="0"/>
        <v>13800</v>
      </c>
      <c r="F15" s="406">
        <v>3150</v>
      </c>
      <c r="G15" s="503">
        <f t="shared" si="1"/>
        <v>13125</v>
      </c>
      <c r="H15" s="503">
        <f t="shared" si="2"/>
        <v>675</v>
      </c>
      <c r="I15" s="504"/>
    </row>
    <row r="16" spans="1:9" s="361" customFormat="1" ht="12.75" customHeight="1" x14ac:dyDescent="0.25">
      <c r="A16" s="499" t="s">
        <v>1418</v>
      </c>
      <c r="B16" s="500">
        <v>46007</v>
      </c>
      <c r="C16" s="501" t="s">
        <v>1419</v>
      </c>
      <c r="D16" s="502"/>
      <c r="E16" s="502">
        <f t="shared" si="0"/>
        <v>13800</v>
      </c>
      <c r="F16" s="406">
        <v>225</v>
      </c>
      <c r="G16" s="503">
        <f t="shared" si="1"/>
        <v>13350</v>
      </c>
      <c r="H16" s="503">
        <f t="shared" si="2"/>
        <v>450</v>
      </c>
      <c r="I16" s="504"/>
    </row>
    <row r="17" spans="1:9" s="361" customFormat="1" ht="12.75" customHeight="1" x14ac:dyDescent="0.25">
      <c r="A17" s="499" t="s">
        <v>1624</v>
      </c>
      <c r="B17" s="500">
        <v>46073</v>
      </c>
      <c r="C17" s="501" t="s">
        <v>1625</v>
      </c>
      <c r="D17" s="502"/>
      <c r="E17" s="502">
        <f t="shared" si="0"/>
        <v>13800</v>
      </c>
      <c r="F17" s="406">
        <v>450</v>
      </c>
      <c r="G17" s="503">
        <f t="shared" si="1"/>
        <v>13800</v>
      </c>
      <c r="H17" s="503">
        <f t="shared" si="2"/>
        <v>0</v>
      </c>
      <c r="I17" s="504"/>
    </row>
    <row r="18" spans="1:9" s="361" customFormat="1" ht="12.75" customHeight="1" x14ac:dyDescent="0.25">
      <c r="A18" s="499"/>
      <c r="B18" s="500"/>
      <c r="C18" s="501"/>
      <c r="D18" s="502"/>
      <c r="E18" s="502">
        <f t="shared" si="0"/>
        <v>13800</v>
      </c>
      <c r="F18" s="406"/>
      <c r="G18" s="503">
        <f t="shared" si="1"/>
        <v>13800</v>
      </c>
      <c r="H18" s="503">
        <f t="shared" si="2"/>
        <v>0</v>
      </c>
      <c r="I18" s="504"/>
    </row>
    <row r="19" spans="1:9" s="361" customFormat="1" ht="12.75" customHeight="1" x14ac:dyDescent="0.25">
      <c r="A19" s="499"/>
      <c r="B19" s="500"/>
      <c r="C19" s="501"/>
      <c r="D19" s="502"/>
      <c r="E19" s="502">
        <f t="shared" si="0"/>
        <v>13800</v>
      </c>
      <c r="F19" s="503"/>
      <c r="G19" s="503">
        <f t="shared" si="1"/>
        <v>13800</v>
      </c>
      <c r="H19" s="503">
        <f t="shared" si="2"/>
        <v>0</v>
      </c>
      <c r="I19" s="504"/>
    </row>
    <row r="20" spans="1:9" s="361" customFormat="1" ht="12.75" customHeight="1" x14ac:dyDescent="0.25">
      <c r="A20" s="499"/>
      <c r="B20" s="500"/>
      <c r="C20" s="501"/>
      <c r="D20" s="502"/>
      <c r="E20" s="502">
        <f t="shared" si="0"/>
        <v>13800</v>
      </c>
      <c r="F20" s="503"/>
      <c r="G20" s="503">
        <f t="shared" si="1"/>
        <v>13800</v>
      </c>
      <c r="H20" s="503">
        <f t="shared" si="2"/>
        <v>0</v>
      </c>
      <c r="I20" s="504"/>
    </row>
    <row r="21" spans="1:9" s="361" customFormat="1" ht="12.75" customHeight="1" x14ac:dyDescent="0.25">
      <c r="A21" s="499"/>
      <c r="B21" s="500"/>
      <c r="C21" s="514"/>
      <c r="D21" s="502"/>
      <c r="E21" s="502">
        <f t="shared" si="0"/>
        <v>13800</v>
      </c>
      <c r="F21" s="503"/>
      <c r="G21" s="503">
        <f t="shared" si="1"/>
        <v>13800</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13800</v>
      </c>
      <c r="E23" s="405"/>
      <c r="F23" s="405">
        <f>SUM(F9:F22)</f>
        <v>13800</v>
      </c>
      <c r="G23" s="405"/>
      <c r="H23" s="405">
        <f>D23-F23</f>
        <v>0</v>
      </c>
      <c r="I23" s="533" t="s">
        <v>169</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255</v>
      </c>
      <c r="D26" s="503">
        <v>4600</v>
      </c>
      <c r="E26" s="503"/>
      <c r="F26" s="503">
        <f>4600</f>
        <v>4600</v>
      </c>
      <c r="G26" s="503"/>
      <c r="H26" s="503">
        <f>D26-F26</f>
        <v>0</v>
      </c>
      <c r="I26" s="504"/>
    </row>
    <row r="27" spans="1:9" s="361" customFormat="1" ht="12.75" customHeight="1" x14ac:dyDescent="0.25">
      <c r="A27" s="499"/>
      <c r="B27" s="501"/>
      <c r="C27" s="515" t="s">
        <v>175</v>
      </c>
      <c r="D27" s="503">
        <v>3500</v>
      </c>
      <c r="E27" s="503"/>
      <c r="F27" s="503">
        <f>2800+630+70</f>
        <v>3500</v>
      </c>
      <c r="G27" s="503"/>
      <c r="H27" s="503">
        <f>D27-F27</f>
        <v>0</v>
      </c>
      <c r="I27" s="504"/>
    </row>
    <row r="28" spans="1:9" s="361" customFormat="1" ht="12.75" customHeight="1" x14ac:dyDescent="0.25">
      <c r="A28" s="499"/>
      <c r="B28" s="501"/>
      <c r="C28" s="515" t="s">
        <v>256</v>
      </c>
      <c r="D28" s="503">
        <v>1200</v>
      </c>
      <c r="E28" s="503"/>
      <c r="F28" s="503">
        <f>1200</f>
        <v>1200</v>
      </c>
      <c r="G28" s="503"/>
      <c r="H28" s="503">
        <f>D28-F28</f>
        <v>0</v>
      </c>
      <c r="I28" s="504"/>
    </row>
    <row r="29" spans="1:9" s="361" customFormat="1" ht="12.75" customHeight="1" x14ac:dyDescent="0.25">
      <c r="A29" s="499"/>
      <c r="B29" s="501"/>
      <c r="C29" s="515" t="s">
        <v>150</v>
      </c>
      <c r="D29" s="503">
        <v>4500</v>
      </c>
      <c r="E29" s="503"/>
      <c r="F29" s="503">
        <f>675+3150+225+450</f>
        <v>4500</v>
      </c>
      <c r="G29" s="503"/>
      <c r="H29" s="503">
        <f>D29-F29</f>
        <v>0</v>
      </c>
      <c r="I29" s="504"/>
    </row>
    <row r="30" spans="1:9" s="361" customFormat="1" ht="12.75" customHeight="1" thickBot="1" x14ac:dyDescent="0.3">
      <c r="A30" s="499"/>
      <c r="B30" s="501"/>
      <c r="C30" s="518" t="s">
        <v>555</v>
      </c>
      <c r="D30" s="405">
        <f>SUM(D26:D29)</f>
        <v>13800</v>
      </c>
      <c r="E30" s="519"/>
      <c r="F30" s="405">
        <f>SUM(F26:F29)</f>
        <v>13800</v>
      </c>
      <c r="G30" s="519"/>
      <c r="H30" s="405">
        <f>SUM(H26:H29)</f>
        <v>0</v>
      </c>
      <c r="I30" s="504"/>
    </row>
    <row r="31" spans="1:9" s="361" customFormat="1" ht="12.7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33">
    <tabColor rgb="FF0070C0"/>
    <pageSetUpPr fitToPage="1"/>
  </sheetPr>
  <dimension ref="A1:I29"/>
  <sheetViews>
    <sheetView tabSelected="1" topLeftCell="A8"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8.710937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16384" width="11.42578125" style="282"/>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713</v>
      </c>
      <c r="B4" s="126"/>
      <c r="C4" s="181"/>
      <c r="D4" s="185" t="s">
        <v>714</v>
      </c>
      <c r="E4" s="180"/>
      <c r="F4" s="180"/>
      <c r="G4" s="180"/>
      <c r="H4" s="181"/>
      <c r="I4" s="181"/>
    </row>
    <row r="5" spans="1:9" ht="15.75" x14ac:dyDescent="0.25">
      <c r="A5" s="186" t="s">
        <v>109</v>
      </c>
      <c r="B5" s="181"/>
      <c r="C5" s="187"/>
      <c r="D5" s="132" t="s">
        <v>715</v>
      </c>
      <c r="E5" s="137"/>
      <c r="F5" s="180"/>
      <c r="G5" s="180"/>
      <c r="H5" s="181"/>
      <c r="I5" s="181"/>
    </row>
    <row r="6" spans="1:9" ht="15.75" x14ac:dyDescent="0.25">
      <c r="A6" s="126" t="str">
        <f>'RECAP #9433.00'!B6</f>
        <v>Project Manager - Jennifer K.</v>
      </c>
      <c r="B6" s="126"/>
      <c r="C6" s="188"/>
      <c r="D6" s="189" t="s">
        <v>112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542" t="s">
        <v>716</v>
      </c>
      <c r="B9" s="543">
        <v>45782</v>
      </c>
      <c r="C9" s="544" t="s">
        <v>107</v>
      </c>
      <c r="D9" s="545">
        <v>90781</v>
      </c>
      <c r="E9" s="546">
        <f>D9</f>
        <v>90781</v>
      </c>
      <c r="F9" s="547"/>
      <c r="G9" s="547"/>
      <c r="H9" s="547">
        <f>E9</f>
        <v>90781</v>
      </c>
      <c r="I9" s="511" t="s">
        <v>1015</v>
      </c>
    </row>
    <row r="10" spans="1:9" s="361" customFormat="1" ht="12.75" customHeight="1" x14ac:dyDescent="0.25">
      <c r="A10" s="499" t="s">
        <v>1046</v>
      </c>
      <c r="B10" s="500">
        <v>45890</v>
      </c>
      <c r="C10" s="501" t="s">
        <v>1017</v>
      </c>
      <c r="D10" s="512">
        <v>0</v>
      </c>
      <c r="E10" s="502">
        <f t="shared" ref="E10:E21" si="0">E9+D10</f>
        <v>90781</v>
      </c>
      <c r="F10" s="406"/>
      <c r="G10" s="503">
        <f t="shared" ref="G10:G21" si="1">G9+F10</f>
        <v>0</v>
      </c>
      <c r="H10" s="503">
        <f t="shared" ref="H10:H21" si="2">H9-F10+D10</f>
        <v>90781</v>
      </c>
      <c r="I10" s="504"/>
    </row>
    <row r="11" spans="1:9" s="361" customFormat="1" ht="12.75" customHeight="1" x14ac:dyDescent="0.25">
      <c r="A11" s="499" t="s">
        <v>1107</v>
      </c>
      <c r="B11" s="500">
        <v>45910</v>
      </c>
      <c r="C11" s="513" t="s">
        <v>1108</v>
      </c>
      <c r="D11" s="502"/>
      <c r="E11" s="502">
        <f t="shared" si="0"/>
        <v>90781</v>
      </c>
      <c r="F11" s="406">
        <v>49039</v>
      </c>
      <c r="G11" s="503">
        <f t="shared" si="1"/>
        <v>49039</v>
      </c>
      <c r="H11" s="503">
        <f t="shared" si="2"/>
        <v>41742</v>
      </c>
      <c r="I11" s="406">
        <v>2581</v>
      </c>
    </row>
    <row r="12" spans="1:9" s="361" customFormat="1" ht="12.75" customHeight="1" x14ac:dyDescent="0.25">
      <c r="A12" s="499" t="s">
        <v>1267</v>
      </c>
      <c r="B12" s="500">
        <v>45947</v>
      </c>
      <c r="C12" s="513" t="s">
        <v>1268</v>
      </c>
      <c r="D12" s="502"/>
      <c r="E12" s="502">
        <f t="shared" si="0"/>
        <v>90781</v>
      </c>
      <c r="F12" s="406">
        <v>17446.98</v>
      </c>
      <c r="G12" s="503">
        <f t="shared" si="1"/>
        <v>66485.98</v>
      </c>
      <c r="H12" s="503">
        <f t="shared" si="2"/>
        <v>24295.02</v>
      </c>
      <c r="I12" s="406">
        <f>I11+918.27</f>
        <v>3499.27</v>
      </c>
    </row>
    <row r="13" spans="1:9" s="361" customFormat="1" ht="12.75" customHeight="1" x14ac:dyDescent="0.25">
      <c r="A13" s="499" t="s">
        <v>1332</v>
      </c>
      <c r="B13" s="500">
        <v>45973</v>
      </c>
      <c r="C13" s="513" t="s">
        <v>1333</v>
      </c>
      <c r="D13" s="502"/>
      <c r="E13" s="502">
        <f t="shared" si="0"/>
        <v>90781</v>
      </c>
      <c r="F13" s="406">
        <v>17836.96</v>
      </c>
      <c r="G13" s="503">
        <f t="shared" si="1"/>
        <v>84322.94</v>
      </c>
      <c r="H13" s="503">
        <f t="shared" si="2"/>
        <v>6458.0600000000013</v>
      </c>
      <c r="I13" s="406">
        <f>I12+938.79</f>
        <v>4438.0599999999995</v>
      </c>
    </row>
    <row r="14" spans="1:9" s="361" customFormat="1" ht="12.75" customHeight="1" x14ac:dyDescent="0.25">
      <c r="A14" s="499" t="s">
        <v>1046</v>
      </c>
      <c r="B14" s="500">
        <v>45994</v>
      </c>
      <c r="C14" s="501" t="s">
        <v>301</v>
      </c>
      <c r="D14" s="512">
        <v>33006.379999999997</v>
      </c>
      <c r="E14" s="502">
        <f t="shared" si="0"/>
        <v>123787.38</v>
      </c>
      <c r="F14" s="503"/>
      <c r="G14" s="503">
        <f t="shared" si="1"/>
        <v>84322.94</v>
      </c>
      <c r="H14" s="503">
        <f t="shared" si="2"/>
        <v>39464.44</v>
      </c>
      <c r="I14" s="504"/>
    </row>
    <row r="15" spans="1:9" s="361" customFormat="1" ht="12.75" customHeight="1" x14ac:dyDescent="0.25">
      <c r="A15" s="499" t="s">
        <v>1465</v>
      </c>
      <c r="B15" s="500">
        <v>46030</v>
      </c>
      <c r="C15" s="513" t="s">
        <v>1466</v>
      </c>
      <c r="D15" s="502"/>
      <c r="E15" s="502">
        <f t="shared" si="0"/>
        <v>123787.38</v>
      </c>
      <c r="F15" s="406">
        <v>31356.06</v>
      </c>
      <c r="G15" s="503">
        <f t="shared" si="1"/>
        <v>115679</v>
      </c>
      <c r="H15" s="503">
        <f t="shared" si="2"/>
        <v>8108.380000000001</v>
      </c>
      <c r="I15" s="406">
        <f>I13+1650.32</f>
        <v>6088.3799999999992</v>
      </c>
    </row>
    <row r="16" spans="1:9" s="361" customFormat="1" ht="12.75" customHeight="1" x14ac:dyDescent="0.25">
      <c r="A16" s="499" t="s">
        <v>1548</v>
      </c>
      <c r="B16" s="500">
        <v>46062</v>
      </c>
      <c r="C16" s="513" t="s">
        <v>1549</v>
      </c>
      <c r="D16" s="502"/>
      <c r="E16" s="502">
        <f t="shared" si="0"/>
        <v>123787.38</v>
      </c>
      <c r="F16" s="406">
        <v>1919</v>
      </c>
      <c r="G16" s="503">
        <f t="shared" si="1"/>
        <v>117598</v>
      </c>
      <c r="H16" s="503">
        <f t="shared" si="2"/>
        <v>6189.380000000001</v>
      </c>
      <c r="I16" s="406">
        <f>I15+101</f>
        <v>6189.3799999999992</v>
      </c>
    </row>
    <row r="17" spans="1:9" s="361" customFormat="1" ht="12.75" customHeight="1" x14ac:dyDescent="0.25">
      <c r="A17" s="499" t="s">
        <v>1599</v>
      </c>
      <c r="B17" s="500">
        <v>46070</v>
      </c>
      <c r="C17" s="513" t="s">
        <v>1600</v>
      </c>
      <c r="D17" s="502"/>
      <c r="E17" s="502">
        <f t="shared" si="0"/>
        <v>123787.38</v>
      </c>
      <c r="F17" s="406">
        <v>6189.38</v>
      </c>
      <c r="G17" s="503">
        <f t="shared" si="1"/>
        <v>123787.38</v>
      </c>
      <c r="H17" s="503">
        <f t="shared" si="2"/>
        <v>9.0949470177292824E-13</v>
      </c>
      <c r="I17" s="504"/>
    </row>
    <row r="18" spans="1:9" s="361" customFormat="1" ht="12.75" customHeight="1" x14ac:dyDescent="0.25">
      <c r="A18" s="499"/>
      <c r="B18" s="500"/>
      <c r="C18" s="501"/>
      <c r="D18" s="502"/>
      <c r="E18" s="502">
        <f t="shared" si="0"/>
        <v>123787.38</v>
      </c>
      <c r="F18" s="406"/>
      <c r="G18" s="503">
        <f t="shared" si="1"/>
        <v>123787.38</v>
      </c>
      <c r="H18" s="503">
        <f t="shared" si="2"/>
        <v>9.0949470177292824E-13</v>
      </c>
      <c r="I18" s="504"/>
    </row>
    <row r="19" spans="1:9" s="361" customFormat="1" ht="12.75" customHeight="1" x14ac:dyDescent="0.25">
      <c r="A19" s="499"/>
      <c r="B19" s="500"/>
      <c r="C19" s="501"/>
      <c r="D19" s="502"/>
      <c r="E19" s="502">
        <f t="shared" si="0"/>
        <v>123787.38</v>
      </c>
      <c r="F19" s="503"/>
      <c r="G19" s="503">
        <f t="shared" si="1"/>
        <v>123787.38</v>
      </c>
      <c r="H19" s="503">
        <f t="shared" si="2"/>
        <v>9.0949470177292824E-13</v>
      </c>
      <c r="I19" s="504"/>
    </row>
    <row r="20" spans="1:9" s="361" customFormat="1" ht="12.75" customHeight="1" x14ac:dyDescent="0.25">
      <c r="A20" s="499"/>
      <c r="B20" s="500"/>
      <c r="C20" s="501"/>
      <c r="D20" s="502"/>
      <c r="E20" s="502">
        <f t="shared" si="0"/>
        <v>123787.38</v>
      </c>
      <c r="F20" s="503"/>
      <c r="G20" s="503">
        <f t="shared" si="1"/>
        <v>123787.38</v>
      </c>
      <c r="H20" s="503">
        <f t="shared" si="2"/>
        <v>9.0949470177292824E-13</v>
      </c>
      <c r="I20" s="504"/>
    </row>
    <row r="21" spans="1:9" s="361" customFormat="1" ht="12.75" customHeight="1" x14ac:dyDescent="0.25">
      <c r="A21" s="499"/>
      <c r="B21" s="500"/>
      <c r="C21" s="514"/>
      <c r="D21" s="502"/>
      <c r="E21" s="502">
        <f t="shared" si="0"/>
        <v>123787.38</v>
      </c>
      <c r="F21" s="503"/>
      <c r="G21" s="503">
        <f t="shared" si="1"/>
        <v>123787.38</v>
      </c>
      <c r="H21" s="503">
        <f t="shared" si="2"/>
        <v>9.0949470177292824E-13</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123787.38</v>
      </c>
      <c r="E23" s="405"/>
      <c r="F23" s="405">
        <f>SUM(F9:F22)</f>
        <v>123787.38</v>
      </c>
      <c r="G23" s="405"/>
      <c r="H23" s="405">
        <f>D23-F23</f>
        <v>0</v>
      </c>
      <c r="I23" s="504"/>
    </row>
    <row r="24" spans="1:9" s="361" customFormat="1" ht="12.75" customHeight="1" thickTop="1" x14ac:dyDescent="0.25"/>
    <row r="25" spans="1:9" s="361" customFormat="1" ht="12.75" customHeight="1" x14ac:dyDescent="0.25"/>
    <row r="26" spans="1:9" s="361" customFormat="1" ht="12.75" customHeight="1" x14ac:dyDescent="0.25"/>
    <row r="27" spans="1:9" s="361" customFormat="1" ht="12.75" customHeight="1" x14ac:dyDescent="0.25"/>
    <row r="28" spans="1:9" s="361" customFormat="1" ht="12.75" customHeight="1" x14ac:dyDescent="0.25"/>
    <row r="29" spans="1:9" s="361"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34">
    <tabColor rgb="FF0070C0"/>
    <pageSetUpPr fitToPage="1"/>
  </sheetPr>
  <dimension ref="A1:I37"/>
  <sheetViews>
    <sheetView tabSelected="1" topLeftCell="A6"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41.425781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 style="282" customWidth="1"/>
    <col min="10" max="16384" width="11.42578125" style="282"/>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188</v>
      </c>
      <c r="B4" s="126"/>
      <c r="C4" s="181"/>
      <c r="D4" s="185" t="s">
        <v>189</v>
      </c>
      <c r="E4" s="180"/>
      <c r="F4" s="180"/>
      <c r="G4" s="180"/>
      <c r="H4" s="181"/>
      <c r="I4" s="181"/>
    </row>
    <row r="5" spans="1:9" ht="15.75" x14ac:dyDescent="0.25">
      <c r="A5" s="186" t="s">
        <v>109</v>
      </c>
      <c r="B5" s="181"/>
      <c r="C5" s="187"/>
      <c r="D5" s="132" t="s">
        <v>249</v>
      </c>
      <c r="E5" s="137"/>
      <c r="F5" s="180"/>
      <c r="G5" s="180"/>
      <c r="H5" s="181"/>
      <c r="I5" s="181"/>
    </row>
    <row r="6" spans="1:9" ht="15.75" x14ac:dyDescent="0.25">
      <c r="A6" s="126" t="str">
        <f>'RECAP #9433.00'!B6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720</v>
      </c>
      <c r="B9" s="500">
        <v>45783</v>
      </c>
      <c r="C9" s="501" t="s">
        <v>107</v>
      </c>
      <c r="D9" s="404">
        <v>29837.01</v>
      </c>
      <c r="E9" s="502">
        <f>D9</f>
        <v>29837.01</v>
      </c>
      <c r="F9" s="503"/>
      <c r="G9" s="503"/>
      <c r="H9" s="503">
        <f>E9</f>
        <v>29837.01</v>
      </c>
      <c r="I9" s="504"/>
    </row>
    <row r="10" spans="1:9" s="361" customFormat="1" ht="12.75" customHeight="1" x14ac:dyDescent="0.25">
      <c r="A10" s="499" t="s">
        <v>979</v>
      </c>
      <c r="B10" s="365">
        <v>45855</v>
      </c>
      <c r="C10" s="501" t="s">
        <v>980</v>
      </c>
      <c r="D10" s="502"/>
      <c r="E10" s="502">
        <f t="shared" ref="E10:E21" si="0">E9+D10</f>
        <v>29837.01</v>
      </c>
      <c r="F10" s="406">
        <v>2732.08</v>
      </c>
      <c r="G10" s="503">
        <f t="shared" ref="G10:G21" si="1">G9+F10</f>
        <v>2732.08</v>
      </c>
      <c r="H10" s="503">
        <f t="shared" ref="H10:H21" si="2">H9-F10+D10</f>
        <v>27104.93</v>
      </c>
      <c r="I10" s="504"/>
    </row>
    <row r="11" spans="1:9" s="361" customFormat="1" ht="12.75" customHeight="1" x14ac:dyDescent="0.25">
      <c r="A11" s="499" t="s">
        <v>976</v>
      </c>
      <c r="B11" s="365">
        <v>45859</v>
      </c>
      <c r="C11" s="501" t="s">
        <v>975</v>
      </c>
      <c r="D11" s="404">
        <v>0</v>
      </c>
      <c r="E11" s="502">
        <f t="shared" si="0"/>
        <v>29837.01</v>
      </c>
      <c r="F11" s="406"/>
      <c r="G11" s="503">
        <f t="shared" si="1"/>
        <v>2732.08</v>
      </c>
      <c r="H11" s="503">
        <f t="shared" si="2"/>
        <v>27104.93</v>
      </c>
      <c r="I11" s="504"/>
    </row>
    <row r="12" spans="1:9" s="361" customFormat="1" ht="12.75" customHeight="1" x14ac:dyDescent="0.25">
      <c r="A12" s="582" t="s">
        <v>1156</v>
      </c>
      <c r="B12" s="532">
        <v>45861</v>
      </c>
      <c r="C12" s="507" t="s">
        <v>986</v>
      </c>
      <c r="D12" s="508"/>
      <c r="E12" s="508">
        <f t="shared" si="0"/>
        <v>29837.01</v>
      </c>
      <c r="F12" s="509">
        <v>2255.2600000000002</v>
      </c>
      <c r="G12" s="510">
        <f t="shared" si="1"/>
        <v>4987.34</v>
      </c>
      <c r="H12" s="510">
        <f t="shared" si="2"/>
        <v>24849.67</v>
      </c>
      <c r="I12" s="511" t="s">
        <v>1015</v>
      </c>
    </row>
    <row r="13" spans="1:9" s="361" customFormat="1" ht="12.75" customHeight="1" x14ac:dyDescent="0.25">
      <c r="A13" s="499" t="s">
        <v>1048</v>
      </c>
      <c r="B13" s="365">
        <v>45890</v>
      </c>
      <c r="C13" s="501" t="s">
        <v>1017</v>
      </c>
      <c r="D13" s="512">
        <v>0</v>
      </c>
      <c r="E13" s="502">
        <f t="shared" si="0"/>
        <v>29837.01</v>
      </c>
      <c r="F13" s="406"/>
      <c r="G13" s="503">
        <f t="shared" si="1"/>
        <v>4987.34</v>
      </c>
      <c r="H13" s="503">
        <f t="shared" si="2"/>
        <v>24849.67</v>
      </c>
      <c r="I13" s="504"/>
    </row>
    <row r="14" spans="1:9" s="361" customFormat="1" ht="12.75" customHeight="1" x14ac:dyDescent="0.25">
      <c r="A14" s="499" t="s">
        <v>1081</v>
      </c>
      <c r="B14" s="365">
        <v>45905</v>
      </c>
      <c r="C14" s="501" t="s">
        <v>1082</v>
      </c>
      <c r="D14" s="502"/>
      <c r="E14" s="502">
        <f t="shared" si="0"/>
        <v>29837.01</v>
      </c>
      <c r="F14" s="406">
        <v>1081.81</v>
      </c>
      <c r="G14" s="503">
        <f t="shared" si="1"/>
        <v>6069.15</v>
      </c>
      <c r="H14" s="503">
        <f t="shared" si="2"/>
        <v>23767.859999999997</v>
      </c>
      <c r="I14" s="504"/>
    </row>
    <row r="15" spans="1:9" s="361" customFormat="1" ht="12.75" customHeight="1" x14ac:dyDescent="0.25">
      <c r="A15" s="499" t="s">
        <v>1159</v>
      </c>
      <c r="B15" s="365">
        <v>45916</v>
      </c>
      <c r="C15" s="501" t="s">
        <v>1157</v>
      </c>
      <c r="D15" s="502"/>
      <c r="E15" s="502">
        <f t="shared" si="0"/>
        <v>29837.01</v>
      </c>
      <c r="F15" s="406">
        <v>11405.14</v>
      </c>
      <c r="G15" s="503">
        <f t="shared" si="1"/>
        <v>17474.29</v>
      </c>
      <c r="H15" s="503">
        <f t="shared" si="2"/>
        <v>12362.719999999998</v>
      </c>
      <c r="I15" s="504"/>
    </row>
    <row r="16" spans="1:9" s="361" customFormat="1" ht="12.75" customHeight="1" x14ac:dyDescent="0.25">
      <c r="A16" s="499" t="s">
        <v>1269</v>
      </c>
      <c r="B16" s="500">
        <v>45947</v>
      </c>
      <c r="C16" s="501" t="s">
        <v>1270</v>
      </c>
      <c r="D16" s="502"/>
      <c r="E16" s="502">
        <f t="shared" si="0"/>
        <v>29837.01</v>
      </c>
      <c r="F16" s="406">
        <v>4763.4799999999996</v>
      </c>
      <c r="G16" s="503">
        <f t="shared" si="1"/>
        <v>22237.77</v>
      </c>
      <c r="H16" s="503">
        <f t="shared" si="2"/>
        <v>7599.239999999998</v>
      </c>
      <c r="I16" s="504"/>
    </row>
    <row r="17" spans="1:9" s="361" customFormat="1" ht="12.75" customHeight="1" x14ac:dyDescent="0.25">
      <c r="A17" s="499" t="s">
        <v>1350</v>
      </c>
      <c r="B17" s="500">
        <v>45978</v>
      </c>
      <c r="C17" s="501" t="s">
        <v>1351</v>
      </c>
      <c r="D17" s="502"/>
      <c r="E17" s="502">
        <f t="shared" si="0"/>
        <v>29837.01</v>
      </c>
      <c r="F17" s="406">
        <v>7211.96</v>
      </c>
      <c r="G17" s="503">
        <f t="shared" si="1"/>
        <v>29449.73</v>
      </c>
      <c r="H17" s="503">
        <f t="shared" si="2"/>
        <v>387.27999999999793</v>
      </c>
      <c r="I17" s="504"/>
    </row>
    <row r="18" spans="1:9" s="361" customFormat="1" ht="12.75" customHeight="1" x14ac:dyDescent="0.25">
      <c r="A18" s="499" t="s">
        <v>1491</v>
      </c>
      <c r="B18" s="500">
        <v>46038</v>
      </c>
      <c r="C18" s="501" t="s">
        <v>1492</v>
      </c>
      <c r="D18" s="502"/>
      <c r="E18" s="502">
        <f t="shared" si="0"/>
        <v>29837.01</v>
      </c>
      <c r="F18" s="406">
        <v>37.42</v>
      </c>
      <c r="G18" s="503">
        <f t="shared" si="1"/>
        <v>29487.149999999998</v>
      </c>
      <c r="H18" s="503">
        <f t="shared" si="2"/>
        <v>349.85999999999791</v>
      </c>
      <c r="I18" s="504"/>
    </row>
    <row r="19" spans="1:9" s="361" customFormat="1" ht="12.75" customHeight="1" x14ac:dyDescent="0.25">
      <c r="A19" s="499" t="s">
        <v>1048</v>
      </c>
      <c r="B19" s="500">
        <v>46076</v>
      </c>
      <c r="C19" s="501" t="s">
        <v>1633</v>
      </c>
      <c r="D19" s="512">
        <v>-349.86</v>
      </c>
      <c r="E19" s="502">
        <f t="shared" si="0"/>
        <v>29487.149999999998</v>
      </c>
      <c r="F19" s="503"/>
      <c r="G19" s="503">
        <f t="shared" si="1"/>
        <v>29487.149999999998</v>
      </c>
      <c r="H19" s="503">
        <f t="shared" si="2"/>
        <v>-2.1032064978498966E-12</v>
      </c>
      <c r="I19" s="504"/>
    </row>
    <row r="20" spans="1:9" s="361" customFormat="1" ht="12.75" customHeight="1" x14ac:dyDescent="0.25">
      <c r="A20" s="499"/>
      <c r="B20" s="500"/>
      <c r="C20" s="501"/>
      <c r="D20" s="502"/>
      <c r="E20" s="502">
        <f t="shared" si="0"/>
        <v>29487.149999999998</v>
      </c>
      <c r="F20" s="503"/>
      <c r="G20" s="503">
        <f t="shared" si="1"/>
        <v>29487.149999999998</v>
      </c>
      <c r="H20" s="503">
        <f t="shared" si="2"/>
        <v>-2.1032064978498966E-12</v>
      </c>
      <c r="I20" s="504"/>
    </row>
    <row r="21" spans="1:9" s="361" customFormat="1" ht="12.75" customHeight="1" x14ac:dyDescent="0.25">
      <c r="A21" s="499"/>
      <c r="B21" s="500"/>
      <c r="C21" s="514"/>
      <c r="D21" s="502"/>
      <c r="E21" s="502">
        <f t="shared" si="0"/>
        <v>29487.149999999998</v>
      </c>
      <c r="F21" s="503"/>
      <c r="G21" s="503">
        <f t="shared" si="1"/>
        <v>29487.149999999998</v>
      </c>
      <c r="H21" s="503">
        <f t="shared" si="2"/>
        <v>-2.1032064978498966E-12</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29487.149999999998</v>
      </c>
      <c r="E23" s="405"/>
      <c r="F23" s="405">
        <f>SUM(F9:F22)</f>
        <v>29487.149999999998</v>
      </c>
      <c r="G23" s="405"/>
      <c r="H23" s="405">
        <f>D23-F23</f>
        <v>0</v>
      </c>
      <c r="I23" s="504"/>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192</v>
      </c>
      <c r="D26" s="503">
        <f>29483.01-25.36</f>
        <v>29457.649999999998</v>
      </c>
      <c r="E26" s="503"/>
      <c r="F26" s="503">
        <f>2702.58+2255.26+1081.81+11405.14+4763.48+7211.96+37.42</f>
        <v>29457.649999999998</v>
      </c>
      <c r="G26" s="503"/>
      <c r="H26" s="503">
        <f>D26-F26</f>
        <v>0</v>
      </c>
      <c r="I26" s="504"/>
    </row>
    <row r="27" spans="1:9" s="361" customFormat="1" ht="12.75" customHeight="1" x14ac:dyDescent="0.25">
      <c r="A27" s="499"/>
      <c r="B27" s="501"/>
      <c r="C27" s="515" t="s">
        <v>118</v>
      </c>
      <c r="D27" s="503">
        <f>354-324.5</f>
        <v>29.5</v>
      </c>
      <c r="E27" s="503"/>
      <c r="F27" s="503">
        <f>29.5</f>
        <v>29.5</v>
      </c>
      <c r="G27" s="503"/>
      <c r="H27" s="503">
        <f>D27-F27</f>
        <v>0</v>
      </c>
      <c r="I27" s="504"/>
    </row>
    <row r="28" spans="1:9" s="361" customFormat="1" ht="12.75" customHeight="1" thickBot="1" x14ac:dyDescent="0.3">
      <c r="A28" s="499"/>
      <c r="B28" s="501"/>
      <c r="C28" s="518" t="s">
        <v>555</v>
      </c>
      <c r="D28" s="405">
        <f>SUM(D26:D27)</f>
        <v>29487.149999999998</v>
      </c>
      <c r="E28" s="519"/>
      <c r="F28" s="405">
        <f>SUM(F26:F27)</f>
        <v>29487.149999999998</v>
      </c>
      <c r="G28" s="519"/>
      <c r="H28" s="405">
        <f>SUM(H26:H27)</f>
        <v>0</v>
      </c>
      <c r="I28" s="504"/>
    </row>
    <row r="29" spans="1:9" s="361" customFormat="1" ht="12.75" customHeight="1" thickTop="1" x14ac:dyDescent="0.25">
      <c r="A29" s="499"/>
      <c r="B29" s="501"/>
      <c r="C29" s="515"/>
      <c r="D29" s="503"/>
      <c r="E29" s="503"/>
      <c r="F29" s="503"/>
      <c r="G29" s="503"/>
      <c r="H29" s="503"/>
      <c r="I29" s="504"/>
    </row>
    <row r="30" spans="1:9" s="361" customFormat="1" ht="12.75" customHeight="1" x14ac:dyDescent="0.25">
      <c r="A30" s="499"/>
      <c r="B30" s="501"/>
      <c r="C30" s="518"/>
      <c r="D30" s="519"/>
      <c r="E30" s="519"/>
      <c r="F30" s="519"/>
      <c r="G30" s="519"/>
      <c r="H30" s="519"/>
      <c r="I30" s="504"/>
    </row>
    <row r="31" spans="1:9" s="361" customFormat="1" ht="12.75" customHeight="1" x14ac:dyDescent="0.25">
      <c r="A31" s="499" t="s">
        <v>1158</v>
      </c>
      <c r="B31" s="501"/>
      <c r="C31" s="515"/>
      <c r="D31" s="503"/>
      <c r="E31" s="503"/>
      <c r="F31" s="503"/>
      <c r="G31" s="503"/>
      <c r="H31" s="503"/>
      <c r="I31" s="504"/>
    </row>
    <row r="32" spans="1:9" s="361" customFormat="1" ht="12.75" customHeight="1" x14ac:dyDescent="0.25">
      <c r="A32" s="499" t="s">
        <v>1161</v>
      </c>
      <c r="B32" s="501"/>
      <c r="C32" s="515"/>
      <c r="D32" s="503"/>
      <c r="E32" s="503"/>
      <c r="F32" s="503"/>
      <c r="G32" s="503"/>
      <c r="H32" s="503"/>
      <c r="I32" s="504"/>
    </row>
    <row r="33" spans="1:9" s="361" customFormat="1" ht="12.75" customHeight="1" x14ac:dyDescent="0.25">
      <c r="A33" s="499" t="s">
        <v>1160</v>
      </c>
      <c r="B33" s="501"/>
      <c r="C33" s="515"/>
      <c r="D33" s="504"/>
      <c r="E33" s="499"/>
      <c r="F33" s="541"/>
      <c r="G33" s="541"/>
      <c r="H33" s="504"/>
      <c r="I33" s="504"/>
    </row>
    <row r="34" spans="1:9" s="361" customFormat="1" ht="12.75" customHeight="1" x14ac:dyDescent="0.25">
      <c r="A34" s="499" t="s">
        <v>1271</v>
      </c>
      <c r="B34" s="501"/>
      <c r="C34" s="515"/>
      <c r="D34" s="504"/>
      <c r="E34" s="499"/>
      <c r="F34" s="541"/>
      <c r="G34" s="541"/>
      <c r="H34" s="504"/>
      <c r="I34" s="504"/>
    </row>
    <row r="35" spans="1:9" s="361" customFormat="1" ht="12.75" customHeight="1" x14ac:dyDescent="0.25">
      <c r="A35" s="499" t="s">
        <v>1352</v>
      </c>
      <c r="B35" s="501"/>
      <c r="C35" s="515"/>
      <c r="D35" s="504"/>
      <c r="E35" s="499"/>
      <c r="F35" s="541"/>
      <c r="G35" s="541"/>
      <c r="H35" s="504"/>
      <c r="I35" s="504"/>
    </row>
    <row r="36" spans="1:9" s="361" customFormat="1" ht="12.75" customHeight="1" x14ac:dyDescent="0.25"/>
    <row r="37" spans="1:9" s="361"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35">
    <pageSetUpPr fitToPage="1"/>
  </sheetPr>
  <dimension ref="A1:G18"/>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402</v>
      </c>
      <c r="C1" s="79"/>
      <c r="D1" s="6"/>
      <c r="E1" s="6"/>
      <c r="F1" s="6"/>
      <c r="G1" s="6"/>
    </row>
    <row r="2" spans="1:7" ht="15.75" x14ac:dyDescent="0.25">
      <c r="A2" s="77"/>
      <c r="B2" s="81" t="s">
        <v>398</v>
      </c>
      <c r="C2" s="80"/>
      <c r="D2" s="6"/>
      <c r="E2" s="6"/>
      <c r="F2" s="6"/>
      <c r="G2" s="6"/>
    </row>
    <row r="3" spans="1:7" ht="15.75" x14ac:dyDescent="0.25">
      <c r="A3" s="77"/>
      <c r="B3" s="82" t="s">
        <v>399</v>
      </c>
      <c r="C3" s="80"/>
      <c r="D3" s="6"/>
      <c r="E3" s="83" t="s">
        <v>401</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400</v>
      </c>
      <c r="C6" s="87"/>
      <c r="D6" s="88" t="s">
        <v>3</v>
      </c>
      <c r="E6" s="6"/>
      <c r="F6" s="6"/>
      <c r="G6" s="6"/>
    </row>
    <row r="7" spans="1:7" ht="32.25" customHeight="1" thickBot="1" x14ac:dyDescent="0.3">
      <c r="A7" s="77"/>
      <c r="B7" s="89" t="s">
        <v>3</v>
      </c>
      <c r="C7" s="90" t="s">
        <v>0</v>
      </c>
      <c r="D7" s="91" t="s">
        <v>1</v>
      </c>
      <c r="E7" s="92" t="s">
        <v>2</v>
      </c>
      <c r="F7" s="93" t="s">
        <v>37</v>
      </c>
      <c r="G7" s="93" t="s">
        <v>38</v>
      </c>
    </row>
    <row r="8" spans="1:7" ht="28.35" customHeight="1" x14ac:dyDescent="0.25">
      <c r="A8" s="77"/>
      <c r="B8" s="80" t="s">
        <v>39</v>
      </c>
      <c r="C8" s="94">
        <f>'#9466.00 Funds Rec''d '!H24</f>
        <v>405000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170</v>
      </c>
      <c r="B10" s="474" t="s">
        <v>493</v>
      </c>
      <c r="C10" s="475"/>
      <c r="D10" s="479">
        <f>'#9466.00 Boyd Jones'!D23</f>
        <v>16367.570000000002</v>
      </c>
      <c r="E10" s="479">
        <f>'#9466.00 Boyd Jones'!F23</f>
        <v>16367.57</v>
      </c>
      <c r="F10" s="479">
        <f>'#9466.00 Boyd Jones'!H23</f>
        <v>0</v>
      </c>
      <c r="G10" s="477"/>
    </row>
    <row r="11" spans="1:7" s="330" customFormat="1" ht="12.75" customHeight="1" x14ac:dyDescent="0.25">
      <c r="A11" s="473"/>
      <c r="B11" s="474" t="s">
        <v>41</v>
      </c>
      <c r="C11" s="475"/>
      <c r="D11" s="479">
        <f>'#9466.00 PM TIME'!E44</f>
        <v>13500</v>
      </c>
      <c r="E11" s="479">
        <f>'#9466.00 PM TIME'!G44</f>
        <v>8171.9899999999989</v>
      </c>
      <c r="F11" s="479">
        <f>'#9466.00 PM TIME'!I44</f>
        <v>5328.0100000000011</v>
      </c>
      <c r="G11" s="477"/>
    </row>
    <row r="12" spans="1:7" s="330" customFormat="1" ht="12.75" customHeight="1" x14ac:dyDescent="0.25">
      <c r="A12" s="473"/>
      <c r="B12" s="474" t="s">
        <v>42</v>
      </c>
      <c r="C12" s="476"/>
      <c r="D12" s="463">
        <f>'#9466.00 Misc '!G22</f>
        <v>2670</v>
      </c>
      <c r="E12" s="463">
        <f>'#9466.00 Misc '!G22</f>
        <v>2670</v>
      </c>
      <c r="F12" s="479">
        <f>D12-E12</f>
        <v>0</v>
      </c>
      <c r="G12" s="477"/>
    </row>
    <row r="13" spans="1:7" s="330" customFormat="1" ht="12.75" customHeight="1" x14ac:dyDescent="0.25">
      <c r="A13" s="473"/>
      <c r="B13" s="474" t="s">
        <v>159</v>
      </c>
      <c r="C13" s="476"/>
      <c r="D13" s="463">
        <f>'#9466.00 KCL Engineering'!D23</f>
        <v>36800</v>
      </c>
      <c r="E13" s="463">
        <f>'#9466.00 KCL Engineering'!F23</f>
        <v>31800</v>
      </c>
      <c r="F13" s="479">
        <f>'#9466.00 KCL Engineering'!H23</f>
        <v>5000</v>
      </c>
      <c r="G13" s="477"/>
    </row>
    <row r="14" spans="1:7" s="330" customFormat="1" ht="12.75" customHeight="1" x14ac:dyDescent="0.25">
      <c r="A14" s="473"/>
      <c r="B14" s="474" t="s">
        <v>1149</v>
      </c>
      <c r="C14" s="476"/>
      <c r="D14" s="463">
        <f>'#9466.00 Thompson Solutions'!D23</f>
        <v>213000</v>
      </c>
      <c r="E14" s="463">
        <f>'#9466.00 Thompson Solutions'!F23</f>
        <v>3426.04</v>
      </c>
      <c r="F14" s="479">
        <f>'#9466.00 Thompson Solutions'!H23</f>
        <v>209573.96</v>
      </c>
      <c r="G14" s="477"/>
    </row>
    <row r="15" spans="1:7" s="330" customFormat="1" ht="12.75" customHeight="1" x14ac:dyDescent="0.25">
      <c r="A15" s="473"/>
      <c r="B15" s="474" t="s">
        <v>1264</v>
      </c>
      <c r="C15" s="476"/>
      <c r="D15" s="463">
        <f>'#9466.00 Boyd Jones (2)'!D23</f>
        <v>48027.64</v>
      </c>
      <c r="E15" s="463">
        <f>'#9466.00 Boyd Jones (2)'!F23</f>
        <v>12690.79</v>
      </c>
      <c r="F15" s="479">
        <f>'#9466.00 Boyd Jones (2)'!H23</f>
        <v>35336.85</v>
      </c>
      <c r="G15" s="477"/>
    </row>
    <row r="16" spans="1:7" s="330" customFormat="1" ht="12.75" customHeight="1" x14ac:dyDescent="0.25">
      <c r="A16" s="473"/>
      <c r="B16" s="474"/>
      <c r="C16" s="476"/>
      <c r="D16" s="463"/>
      <c r="E16" s="463"/>
      <c r="F16" s="479"/>
      <c r="G16" s="477"/>
    </row>
    <row r="17" spans="1:7" ht="24" customHeight="1" thickBot="1" x14ac:dyDescent="0.3">
      <c r="A17" s="100"/>
      <c r="B17" s="101" t="s">
        <v>43</v>
      </c>
      <c r="C17" s="102">
        <f>SUM(C8:C16)</f>
        <v>405000</v>
      </c>
      <c r="D17" s="102">
        <f>SUM(D8:D16)</f>
        <v>330365.21000000002</v>
      </c>
      <c r="E17" s="102">
        <f>SUM(E8:E16)</f>
        <v>75126.39</v>
      </c>
      <c r="F17" s="102">
        <f>SUM(D17-E17)</f>
        <v>255238.82</v>
      </c>
      <c r="G17" s="102">
        <f>C17-D17</f>
        <v>74634.789999999979</v>
      </c>
    </row>
    <row r="18" spans="1:7" ht="15" customHeight="1" thickTop="1" x14ac:dyDescent="0.25"/>
  </sheetData>
  <pageMargins left="0.25" right="0.25" top="1.0476041666666667"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36">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30.7109375" customWidth="1"/>
    <col min="5" max="5" width="25.42578125" customWidth="1"/>
    <col min="6" max="6" width="10.42578125" bestFit="1" customWidth="1"/>
    <col min="7" max="8" width="12.42578125" bestFit="1" customWidth="1"/>
    <col min="9" max="11" width="9.140625" customWidth="1"/>
  </cols>
  <sheetData>
    <row r="1" spans="1:8" x14ac:dyDescent="0.25">
      <c r="A1" s="104" t="str">
        <f>'RECAP #9466.00'!B1</f>
        <v>DOC 3JD CBC New Backup Generator</v>
      </c>
      <c r="B1" s="7"/>
      <c r="C1" s="2"/>
      <c r="D1" s="3"/>
      <c r="E1" s="3"/>
      <c r="F1" s="7"/>
      <c r="G1" s="7"/>
      <c r="H1" s="7"/>
    </row>
    <row r="2" spans="1:8" x14ac:dyDescent="0.25">
      <c r="A2" s="105" t="str">
        <f>'RECAP #9466.00'!B2</f>
        <v>Project # 9466.00</v>
      </c>
      <c r="B2" s="7"/>
      <c r="C2" s="106" t="s">
        <v>3</v>
      </c>
      <c r="D2" s="1"/>
      <c r="E2" s="1"/>
      <c r="F2" s="7"/>
      <c r="G2" s="7"/>
      <c r="H2" s="7"/>
    </row>
    <row r="3" spans="1:8" x14ac:dyDescent="0.25">
      <c r="A3" s="107" t="str">
        <f>'RECAP #9466.00'!B3</f>
        <v>Program code 946600</v>
      </c>
      <c r="B3" s="7"/>
      <c r="C3" s="106" t="s">
        <v>3</v>
      </c>
      <c r="D3" s="108" t="str">
        <f>'RECAP #9466.00'!E3</f>
        <v>Major Program 4E01</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#9466.00'!B6</f>
        <v>Project Manager - Jennie E.</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s="330" customFormat="1" ht="12.75" customHeight="1" x14ac:dyDescent="0.25">
      <c r="A9" s="230"/>
      <c r="B9" s="231"/>
      <c r="C9" s="232"/>
      <c r="D9" s="233" t="s">
        <v>73</v>
      </c>
      <c r="E9" s="233" t="s">
        <v>435</v>
      </c>
      <c r="F9" s="234">
        <v>45671</v>
      </c>
      <c r="G9" s="235">
        <v>405000</v>
      </c>
      <c r="H9" s="235">
        <v>405000</v>
      </c>
    </row>
    <row r="10" spans="1:8" s="330" customFormat="1" ht="12.75" customHeight="1" x14ac:dyDescent="0.25">
      <c r="A10" s="230"/>
      <c r="B10" s="230"/>
      <c r="C10" s="236"/>
      <c r="D10" s="233" t="s">
        <v>1002</v>
      </c>
      <c r="E10" s="230" t="s">
        <v>1005</v>
      </c>
      <c r="F10" s="230">
        <v>45881</v>
      </c>
      <c r="G10" s="385">
        <v>-363618.9</v>
      </c>
      <c r="H10" s="385">
        <v>-363618.9</v>
      </c>
    </row>
    <row r="11" spans="1:8" s="330" customFormat="1" ht="12.75" customHeight="1" x14ac:dyDescent="0.25">
      <c r="A11" s="237"/>
      <c r="B11" s="236"/>
      <c r="C11" s="238"/>
      <c r="D11" s="233" t="s">
        <v>1059</v>
      </c>
      <c r="E11" s="230" t="s">
        <v>1060</v>
      </c>
      <c r="F11" s="230">
        <v>45896</v>
      </c>
      <c r="G11" s="394">
        <v>363618.9</v>
      </c>
      <c r="H11" s="394">
        <v>363618.9</v>
      </c>
    </row>
    <row r="12" spans="1:8" s="330" customFormat="1" ht="12.75" customHeight="1" x14ac:dyDescent="0.25">
      <c r="A12" s="237"/>
      <c r="B12" s="236"/>
      <c r="C12" s="239"/>
      <c r="D12" s="233"/>
      <c r="F12" s="230"/>
      <c r="G12" s="331"/>
      <c r="H12" s="332"/>
    </row>
    <row r="13" spans="1:8" s="330" customFormat="1" ht="12.75" customHeight="1" x14ac:dyDescent="0.25">
      <c r="A13" s="240"/>
      <c r="B13" s="241"/>
      <c r="C13" s="239"/>
      <c r="D13" s="233"/>
      <c r="F13" s="230"/>
      <c r="G13" s="333"/>
      <c r="H13" s="334"/>
    </row>
    <row r="14" spans="1:8" s="330" customFormat="1" ht="12.75" customHeight="1" x14ac:dyDescent="0.25">
      <c r="A14" s="237"/>
      <c r="B14" s="242"/>
      <c r="C14" s="239"/>
      <c r="D14" s="236"/>
      <c r="E14" s="242"/>
      <c r="F14" s="230"/>
      <c r="G14" s="331"/>
      <c r="H14" s="332"/>
    </row>
    <row r="15" spans="1:8" s="330" customFormat="1" ht="12.75" customHeight="1" x14ac:dyDescent="0.25">
      <c r="A15" s="237" t="s">
        <v>3</v>
      </c>
      <c r="B15" s="242"/>
      <c r="C15" s="243"/>
      <c r="D15" s="244"/>
      <c r="E15" s="241"/>
      <c r="F15" s="245"/>
      <c r="G15" s="246"/>
      <c r="H15" s="246"/>
    </row>
    <row r="16" spans="1:8" s="330" customFormat="1" ht="12.75" customHeight="1" x14ac:dyDescent="0.25">
      <c r="A16" s="237"/>
      <c r="B16" s="242"/>
      <c r="C16" s="243" t="s">
        <v>3</v>
      </c>
      <c r="D16" s="244"/>
      <c r="E16" s="242"/>
      <c r="F16" s="245"/>
      <c r="G16" s="246"/>
      <c r="H16" s="246"/>
    </row>
    <row r="17" spans="1:8" s="330" customFormat="1" ht="12.75" customHeight="1" x14ac:dyDescent="0.25">
      <c r="A17" s="237"/>
      <c r="B17" s="242"/>
      <c r="C17" s="243"/>
      <c r="D17" s="244"/>
      <c r="E17" s="242"/>
      <c r="F17" s="245"/>
      <c r="G17" s="247"/>
      <c r="H17" s="243"/>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x14ac:dyDescent="0.25">
      <c r="A23" s="237"/>
      <c r="B23" s="242"/>
      <c r="C23" s="243"/>
      <c r="D23" s="244"/>
      <c r="E23" s="242"/>
      <c r="F23" s="237"/>
      <c r="G23" s="246"/>
      <c r="H23" s="246"/>
    </row>
    <row r="24" spans="1:8" ht="15.75" thickBot="1" x14ac:dyDescent="0.3">
      <c r="A24" s="26"/>
      <c r="B24" s="27" t="s">
        <v>9</v>
      </c>
      <c r="C24" s="28">
        <f>SUM(C9:C23)</f>
        <v>0</v>
      </c>
      <c r="D24" s="29" t="s">
        <v>10</v>
      </c>
      <c r="E24" s="30"/>
      <c r="F24" s="31"/>
      <c r="G24" s="123">
        <f>SUM(G9:G23)</f>
        <v>405000</v>
      </c>
      <c r="H24" s="123">
        <f>SUM(H9:H23)</f>
        <v>405000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37">
    <tabColor rgb="FF0070C0"/>
    <pageSetUpPr fitToPage="1"/>
  </sheetPr>
  <dimension ref="A1:I30"/>
  <sheetViews>
    <sheetView tabSelected="1" topLeftCell="A3"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85546875" customWidth="1"/>
  </cols>
  <sheetData>
    <row r="1" spans="1:9" ht="15.75" x14ac:dyDescent="0.25">
      <c r="A1" s="109" t="str">
        <f>'RECAP #9466.00'!B1</f>
        <v>DOC 3JD CBC New Backup Generator</v>
      </c>
      <c r="B1" s="109"/>
      <c r="C1" s="179"/>
      <c r="D1" s="179"/>
      <c r="E1" s="179"/>
      <c r="F1" s="180"/>
      <c r="G1" s="180"/>
      <c r="H1" s="181"/>
      <c r="I1" s="181"/>
    </row>
    <row r="2" spans="1:9" ht="15.75" x14ac:dyDescent="0.25">
      <c r="A2" s="126" t="str">
        <f>'RECAP #9466.00'!B2</f>
        <v>Project # 9466.00</v>
      </c>
      <c r="B2" s="182"/>
      <c r="C2" s="179"/>
      <c r="D2" s="179"/>
      <c r="E2" s="179"/>
      <c r="F2" s="180"/>
      <c r="G2" s="180"/>
      <c r="H2" s="181"/>
      <c r="I2" s="181"/>
    </row>
    <row r="3" spans="1:9" ht="15.75" x14ac:dyDescent="0.25">
      <c r="A3" s="183" t="str">
        <f>'RECAP #9466.00'!B3</f>
        <v>Program code 946600</v>
      </c>
      <c r="B3" s="182"/>
      <c r="C3" s="179"/>
      <c r="D3" s="184" t="str">
        <f>'RECAP #9466.00'!E3</f>
        <v>Major Program 4E01</v>
      </c>
      <c r="E3" s="179"/>
      <c r="F3" s="180"/>
      <c r="G3" s="180"/>
      <c r="H3" s="181"/>
      <c r="I3" s="181"/>
    </row>
    <row r="4" spans="1:9" ht="15.75" x14ac:dyDescent="0.25">
      <c r="A4" s="109" t="s">
        <v>493</v>
      </c>
      <c r="B4" s="126"/>
      <c r="C4" s="181"/>
      <c r="D4" s="185" t="s">
        <v>494</v>
      </c>
      <c r="E4" s="180"/>
      <c r="F4" s="180"/>
      <c r="G4" s="180"/>
      <c r="H4" s="181"/>
      <c r="I4" s="181"/>
    </row>
    <row r="5" spans="1:9" ht="15.75" x14ac:dyDescent="0.25">
      <c r="A5" s="186" t="s">
        <v>109</v>
      </c>
      <c r="B5" s="181"/>
      <c r="C5" s="187"/>
      <c r="D5" s="132" t="s">
        <v>495</v>
      </c>
      <c r="E5" s="137"/>
      <c r="F5" s="180"/>
      <c r="G5" s="180"/>
      <c r="H5" s="181"/>
      <c r="I5" s="181"/>
    </row>
    <row r="6" spans="1:9" ht="15.75" x14ac:dyDescent="0.25">
      <c r="A6" s="126" t="str">
        <f>'RECAP #9466.00'!B6</f>
        <v>Project Manager - Jennie E.</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496</v>
      </c>
      <c r="B9" s="500">
        <v>45694</v>
      </c>
      <c r="C9" s="501" t="s">
        <v>107</v>
      </c>
      <c r="D9" s="404">
        <v>17496.38</v>
      </c>
      <c r="E9" s="502">
        <f>D9</f>
        <v>17496.38</v>
      </c>
      <c r="F9" s="503"/>
      <c r="G9" s="503"/>
      <c r="H9" s="503">
        <f>E9</f>
        <v>17496.38</v>
      </c>
      <c r="I9" s="504"/>
    </row>
    <row r="10" spans="1:9" s="330" customFormat="1" ht="12.75" customHeight="1" x14ac:dyDescent="0.25">
      <c r="A10" s="499" t="s">
        <v>562</v>
      </c>
      <c r="B10" s="365">
        <v>45726</v>
      </c>
      <c r="C10" s="501" t="s">
        <v>563</v>
      </c>
      <c r="D10" s="502"/>
      <c r="E10" s="502">
        <f t="shared" ref="E10:E21" si="0">E9+D10</f>
        <v>17496.38</v>
      </c>
      <c r="F10" s="406">
        <v>3249.13</v>
      </c>
      <c r="G10" s="503">
        <f t="shared" ref="G10:G21" si="1">G9+F10</f>
        <v>3249.13</v>
      </c>
      <c r="H10" s="503">
        <f t="shared" ref="H10:H21" si="2">H9-F10+D10</f>
        <v>14247.25</v>
      </c>
      <c r="I10" s="504"/>
    </row>
    <row r="11" spans="1:9" s="330" customFormat="1" ht="12.75" customHeight="1" x14ac:dyDescent="0.25">
      <c r="A11" s="499" t="s">
        <v>643</v>
      </c>
      <c r="B11" s="500">
        <v>45755</v>
      </c>
      <c r="C11" s="501" t="s">
        <v>644</v>
      </c>
      <c r="D11" s="502"/>
      <c r="E11" s="502">
        <f t="shared" si="0"/>
        <v>17496.38</v>
      </c>
      <c r="F11" s="406">
        <v>2961.09</v>
      </c>
      <c r="G11" s="503">
        <f t="shared" si="1"/>
        <v>6210.22</v>
      </c>
      <c r="H11" s="503">
        <f t="shared" si="2"/>
        <v>11286.16</v>
      </c>
      <c r="I11" s="504"/>
    </row>
    <row r="12" spans="1:9" s="330" customFormat="1" ht="12.75" customHeight="1" x14ac:dyDescent="0.25">
      <c r="A12" s="499" t="s">
        <v>737</v>
      </c>
      <c r="B12" s="500">
        <v>45786</v>
      </c>
      <c r="C12" s="501" t="s">
        <v>738</v>
      </c>
      <c r="D12" s="502"/>
      <c r="E12" s="502">
        <f t="shared" si="0"/>
        <v>17496.38</v>
      </c>
      <c r="F12" s="406">
        <v>2678.94</v>
      </c>
      <c r="G12" s="503">
        <f t="shared" si="1"/>
        <v>8889.16</v>
      </c>
      <c r="H12" s="503">
        <f t="shared" si="2"/>
        <v>8607.2199999999993</v>
      </c>
      <c r="I12" s="504"/>
    </row>
    <row r="13" spans="1:9" s="330" customFormat="1" ht="12.75" customHeight="1" x14ac:dyDescent="0.25">
      <c r="A13" s="499" t="s">
        <v>877</v>
      </c>
      <c r="B13" s="500">
        <v>45831</v>
      </c>
      <c r="C13" s="501" t="s">
        <v>878</v>
      </c>
      <c r="D13" s="502"/>
      <c r="E13" s="502">
        <f t="shared" si="0"/>
        <v>17496.38</v>
      </c>
      <c r="F13" s="406">
        <v>2322.54</v>
      </c>
      <c r="G13" s="503">
        <f t="shared" si="1"/>
        <v>11211.7</v>
      </c>
      <c r="H13" s="503">
        <f t="shared" si="2"/>
        <v>6284.6799999999994</v>
      </c>
      <c r="I13" s="504"/>
    </row>
    <row r="14" spans="1:9" s="330" customFormat="1" ht="12.75" customHeight="1" x14ac:dyDescent="0.25">
      <c r="A14" s="505" t="s">
        <v>951</v>
      </c>
      <c r="B14" s="532">
        <v>45852</v>
      </c>
      <c r="C14" s="507" t="s">
        <v>952</v>
      </c>
      <c r="D14" s="508"/>
      <c r="E14" s="508">
        <f t="shared" si="0"/>
        <v>17496.38</v>
      </c>
      <c r="F14" s="509">
        <v>546.48</v>
      </c>
      <c r="G14" s="510">
        <f t="shared" si="1"/>
        <v>11758.18</v>
      </c>
      <c r="H14" s="510">
        <f t="shared" si="2"/>
        <v>5738.1999999999989</v>
      </c>
      <c r="I14" s="511" t="s">
        <v>1015</v>
      </c>
    </row>
    <row r="15" spans="1:9" s="330" customFormat="1" ht="12.75" customHeight="1" x14ac:dyDescent="0.25">
      <c r="A15" s="499" t="s">
        <v>1049</v>
      </c>
      <c r="B15" s="500">
        <v>45890</v>
      </c>
      <c r="C15" s="501" t="s">
        <v>1017</v>
      </c>
      <c r="D15" s="512">
        <v>0</v>
      </c>
      <c r="E15" s="502">
        <f t="shared" si="0"/>
        <v>17496.38</v>
      </c>
      <c r="F15" s="406"/>
      <c r="G15" s="503">
        <f t="shared" si="1"/>
        <v>11758.18</v>
      </c>
      <c r="H15" s="503">
        <f t="shared" si="2"/>
        <v>5738.1999999999989</v>
      </c>
      <c r="I15" s="504"/>
    </row>
    <row r="16" spans="1:9" s="330" customFormat="1" ht="12.75" customHeight="1" x14ac:dyDescent="0.25">
      <c r="A16" s="499" t="s">
        <v>1068</v>
      </c>
      <c r="B16" s="500">
        <v>45897</v>
      </c>
      <c r="C16" s="513" t="s">
        <v>1069</v>
      </c>
      <c r="D16" s="502"/>
      <c r="E16" s="502">
        <f t="shared" si="0"/>
        <v>17496.38</v>
      </c>
      <c r="F16" s="406">
        <v>3073.9</v>
      </c>
      <c r="G16" s="503">
        <f t="shared" si="1"/>
        <v>14832.08</v>
      </c>
      <c r="H16" s="503">
        <f t="shared" si="2"/>
        <v>2664.2999999999988</v>
      </c>
      <c r="I16" s="504"/>
    </row>
    <row r="17" spans="1:9" s="330" customFormat="1" ht="12.75" customHeight="1" x14ac:dyDescent="0.25">
      <c r="A17" s="499" t="s">
        <v>1142</v>
      </c>
      <c r="B17" s="500">
        <v>45915</v>
      </c>
      <c r="C17" s="513" t="s">
        <v>1143</v>
      </c>
      <c r="D17" s="512">
        <v>-1128.81</v>
      </c>
      <c r="E17" s="502">
        <f t="shared" si="0"/>
        <v>16367.570000000002</v>
      </c>
      <c r="F17" s="406">
        <v>1535.49</v>
      </c>
      <c r="G17" s="503">
        <f t="shared" si="1"/>
        <v>16367.57</v>
      </c>
      <c r="H17" s="503">
        <f t="shared" si="2"/>
        <v>0</v>
      </c>
      <c r="I17" s="504"/>
    </row>
    <row r="18" spans="1:9" s="330" customFormat="1" ht="12.75" customHeight="1" x14ac:dyDescent="0.25">
      <c r="A18" s="499"/>
      <c r="B18" s="500"/>
      <c r="C18" s="501"/>
      <c r="D18" s="502"/>
      <c r="E18" s="502">
        <f t="shared" si="0"/>
        <v>16367.570000000002</v>
      </c>
      <c r="F18" s="406"/>
      <c r="G18" s="503">
        <f t="shared" si="1"/>
        <v>16367.57</v>
      </c>
      <c r="H18" s="503">
        <f t="shared" si="2"/>
        <v>0</v>
      </c>
      <c r="I18" s="504"/>
    </row>
    <row r="19" spans="1:9" s="330" customFormat="1" ht="12.75" customHeight="1" x14ac:dyDescent="0.25">
      <c r="A19" s="499"/>
      <c r="B19" s="500"/>
      <c r="C19" s="501"/>
      <c r="D19" s="502"/>
      <c r="E19" s="502">
        <f t="shared" si="0"/>
        <v>16367.570000000002</v>
      </c>
      <c r="F19" s="503"/>
      <c r="G19" s="503">
        <f t="shared" si="1"/>
        <v>16367.57</v>
      </c>
      <c r="H19" s="503">
        <f t="shared" si="2"/>
        <v>0</v>
      </c>
      <c r="I19" s="504"/>
    </row>
    <row r="20" spans="1:9" s="330" customFormat="1" ht="12.75" customHeight="1" x14ac:dyDescent="0.25">
      <c r="A20" s="499"/>
      <c r="B20" s="500"/>
      <c r="C20" s="501"/>
      <c r="D20" s="502"/>
      <c r="E20" s="502">
        <f t="shared" si="0"/>
        <v>16367.570000000002</v>
      </c>
      <c r="F20" s="503"/>
      <c r="G20" s="503">
        <f t="shared" si="1"/>
        <v>16367.57</v>
      </c>
      <c r="H20" s="503">
        <f t="shared" si="2"/>
        <v>0</v>
      </c>
      <c r="I20" s="504"/>
    </row>
    <row r="21" spans="1:9" s="330" customFormat="1" ht="12.75" customHeight="1" x14ac:dyDescent="0.25">
      <c r="A21" s="499"/>
      <c r="B21" s="500"/>
      <c r="C21" s="514"/>
      <c r="D21" s="502"/>
      <c r="E21" s="502">
        <f t="shared" si="0"/>
        <v>16367.570000000002</v>
      </c>
      <c r="F21" s="503"/>
      <c r="G21" s="503">
        <f t="shared" si="1"/>
        <v>16367.57</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16367.570000000002</v>
      </c>
      <c r="E23" s="405"/>
      <c r="F23" s="405">
        <f>SUM(F9:F22)</f>
        <v>16367.57</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192</v>
      </c>
      <c r="D26" s="503">
        <f>15996.38-14.81</f>
        <v>15981.57</v>
      </c>
      <c r="E26" s="503"/>
      <c r="F26" s="503">
        <f>3056.13+2961.09+2678.94+2322.54+546.48+2880.9+1535.49</f>
        <v>15981.57</v>
      </c>
      <c r="G26" s="503"/>
      <c r="H26" s="503">
        <f>D26-F26</f>
        <v>0</v>
      </c>
      <c r="I26" s="504"/>
    </row>
    <row r="27" spans="1:9" s="330" customFormat="1" ht="12.75" customHeight="1" x14ac:dyDescent="0.25">
      <c r="A27" s="499"/>
      <c r="B27" s="501"/>
      <c r="C27" s="515" t="s">
        <v>118</v>
      </c>
      <c r="D27" s="503">
        <f>1500-1114</f>
        <v>386</v>
      </c>
      <c r="E27" s="503"/>
      <c r="F27" s="503">
        <f>193+193</f>
        <v>386</v>
      </c>
      <c r="G27" s="503"/>
      <c r="H27" s="503">
        <f>D27-F27</f>
        <v>0</v>
      </c>
      <c r="I27" s="504"/>
    </row>
    <row r="28" spans="1:9" s="330" customFormat="1" ht="12.75" customHeight="1" thickBot="1" x14ac:dyDescent="0.3">
      <c r="A28" s="499"/>
      <c r="B28" s="501"/>
      <c r="C28" s="518" t="s">
        <v>555</v>
      </c>
      <c r="D28" s="405">
        <f>SUM(D26:D27)</f>
        <v>16367.57</v>
      </c>
      <c r="E28" s="519"/>
      <c r="F28" s="405">
        <f>SUM(F26:F27)</f>
        <v>16367.57</v>
      </c>
      <c r="G28" s="519"/>
      <c r="H28" s="405">
        <f>SUM(H26:H27)</f>
        <v>0</v>
      </c>
      <c r="I28" s="504"/>
    </row>
    <row r="29" spans="1:9" s="330" customFormat="1" ht="12.75" customHeight="1" thickTop="1" x14ac:dyDescent="0.25"/>
    <row r="30" spans="1:9"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38">
    <pageSetUpPr fitToPage="1"/>
  </sheetPr>
  <dimension ref="A1:J49"/>
  <sheetViews>
    <sheetView tabSelected="1" topLeftCell="A1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6.5703125" customWidth="1"/>
    <col min="5" max="5" width="21.7109375" customWidth="1"/>
    <col min="6" max="6" width="13.5703125" customWidth="1"/>
    <col min="7" max="7" width="12.42578125" customWidth="1"/>
    <col min="8" max="8" width="10.5703125" customWidth="1"/>
    <col min="9" max="9" width="11.85546875" customWidth="1"/>
  </cols>
  <sheetData>
    <row r="1" spans="1:10" ht="15.75" x14ac:dyDescent="0.25">
      <c r="A1" s="78" t="str">
        <f>'RECAP #9466.00'!B1</f>
        <v>DOC 3JD CBC New Backup Generator</v>
      </c>
      <c r="B1" s="79"/>
      <c r="C1" s="79"/>
      <c r="D1" s="6"/>
      <c r="E1" s="6"/>
      <c r="F1" s="6"/>
      <c r="G1" s="124"/>
      <c r="H1" s="124"/>
      <c r="I1" s="125"/>
      <c r="J1" s="125"/>
    </row>
    <row r="2" spans="1:10" ht="15.75" x14ac:dyDescent="0.25">
      <c r="A2" s="81" t="str">
        <f>'RECAP #9466.00'!B2</f>
        <v>Project # 9466.00</v>
      </c>
      <c r="B2" s="80"/>
      <c r="C2" s="80"/>
      <c r="D2" s="6"/>
      <c r="E2" s="6"/>
      <c r="F2" s="6"/>
      <c r="G2" s="124"/>
      <c r="H2" s="124"/>
      <c r="I2" s="125"/>
      <c r="J2" s="125"/>
    </row>
    <row r="3" spans="1:10" ht="15.75" x14ac:dyDescent="0.25">
      <c r="A3" s="82" t="str">
        <f>'RECAP #9466.00'!B3</f>
        <v>Program code 946600</v>
      </c>
      <c r="B3" s="80"/>
      <c r="C3" s="80"/>
      <c r="D3" s="6"/>
      <c r="E3" s="83" t="str">
        <f>'RECAP #9466.00'!E3</f>
        <v>Major Program 4E01</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#9466.00'!B6</f>
        <v>Project Manager - Jennie E.</v>
      </c>
      <c r="B6" s="86"/>
      <c r="C6" s="86"/>
      <c r="D6" s="135"/>
      <c r="E6" s="132" t="s">
        <v>509</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v>13500</v>
      </c>
      <c r="F9" s="412">
        <f>E9</f>
        <v>13500</v>
      </c>
      <c r="G9" s="413"/>
      <c r="H9" s="413"/>
      <c r="I9" s="413">
        <f>F9</f>
        <v>13500</v>
      </c>
      <c r="J9" s="414"/>
    </row>
    <row r="10" spans="1:10" s="330" customFormat="1" ht="12.75" customHeight="1" x14ac:dyDescent="0.25">
      <c r="A10" s="456" t="s">
        <v>506</v>
      </c>
      <c r="B10" s="468">
        <v>45699</v>
      </c>
      <c r="C10" s="469">
        <v>2507</v>
      </c>
      <c r="D10" s="458" t="s">
        <v>507</v>
      </c>
      <c r="E10" s="412"/>
      <c r="F10" s="412">
        <f t="shared" ref="F10:F42" si="0">F9+E10</f>
        <v>13500</v>
      </c>
      <c r="G10" s="445">
        <f>22.86+28.75</f>
        <v>51.61</v>
      </c>
      <c r="H10" s="413">
        <f t="shared" ref="H10:H42" si="1">H9+G10</f>
        <v>51.61</v>
      </c>
      <c r="I10" s="413">
        <f t="shared" ref="I10:I42" si="2">I9-G10+E10</f>
        <v>13448.39</v>
      </c>
      <c r="J10" s="414"/>
    </row>
    <row r="11" spans="1:10" s="330" customFormat="1" ht="12.75" customHeight="1" x14ac:dyDescent="0.25">
      <c r="A11" s="456" t="s">
        <v>506</v>
      </c>
      <c r="B11" s="468">
        <v>45699</v>
      </c>
      <c r="C11" s="469">
        <v>9500</v>
      </c>
      <c r="D11" s="231" t="s">
        <v>508</v>
      </c>
      <c r="E11" s="412"/>
      <c r="F11" s="412">
        <f t="shared" si="0"/>
        <v>13500</v>
      </c>
      <c r="G11" s="445">
        <f>34+518.1</f>
        <v>552.1</v>
      </c>
      <c r="H11" s="413">
        <f t="shared" si="1"/>
        <v>603.71</v>
      </c>
      <c r="I11" s="413">
        <f t="shared" si="2"/>
        <v>12896.289999999999</v>
      </c>
      <c r="J11" s="414"/>
    </row>
    <row r="12" spans="1:10" s="330" customFormat="1" ht="12.75" customHeight="1" x14ac:dyDescent="0.25">
      <c r="A12" s="456" t="s">
        <v>559</v>
      </c>
      <c r="B12" s="409">
        <v>45723</v>
      </c>
      <c r="C12" s="457">
        <v>2507</v>
      </c>
      <c r="D12" s="458" t="s">
        <v>560</v>
      </c>
      <c r="E12" s="412"/>
      <c r="F12" s="412">
        <f t="shared" si="0"/>
        <v>13500</v>
      </c>
      <c r="G12" s="445">
        <f>53.34+194.23</f>
        <v>247.57</v>
      </c>
      <c r="H12" s="413">
        <f t="shared" si="1"/>
        <v>851.28</v>
      </c>
      <c r="I12" s="413">
        <f t="shared" si="2"/>
        <v>12648.72</v>
      </c>
      <c r="J12" s="414"/>
    </row>
    <row r="13" spans="1:10" s="330" customFormat="1" ht="12.75" customHeight="1" x14ac:dyDescent="0.25">
      <c r="A13" s="456" t="s">
        <v>559</v>
      </c>
      <c r="B13" s="409">
        <v>45723</v>
      </c>
      <c r="C13" s="457">
        <v>9500</v>
      </c>
      <c r="D13" s="231" t="s">
        <v>561</v>
      </c>
      <c r="E13" s="412"/>
      <c r="F13" s="412">
        <f t="shared" si="0"/>
        <v>13500</v>
      </c>
      <c r="G13" s="445">
        <f>74.5+997.7</f>
        <v>1072.2</v>
      </c>
      <c r="H13" s="413">
        <f t="shared" si="1"/>
        <v>1923.48</v>
      </c>
      <c r="I13" s="413">
        <f t="shared" si="2"/>
        <v>11576.519999999999</v>
      </c>
      <c r="J13" s="414"/>
    </row>
    <row r="14" spans="1:10" s="330" customFormat="1" ht="12.75" customHeight="1" x14ac:dyDescent="0.25">
      <c r="A14" s="456" t="s">
        <v>656</v>
      </c>
      <c r="B14" s="409">
        <v>45756</v>
      </c>
      <c r="C14" s="457">
        <v>2507</v>
      </c>
      <c r="D14" s="458" t="s">
        <v>657</v>
      </c>
      <c r="E14" s="412"/>
      <c r="F14" s="412">
        <f t="shared" si="0"/>
        <v>13500</v>
      </c>
      <c r="G14" s="445">
        <f>57.15+83.44</f>
        <v>140.59</v>
      </c>
      <c r="H14" s="413">
        <f t="shared" si="1"/>
        <v>2064.0700000000002</v>
      </c>
      <c r="I14" s="413">
        <f t="shared" si="2"/>
        <v>11435.929999999998</v>
      </c>
      <c r="J14" s="414"/>
    </row>
    <row r="15" spans="1:10" s="330" customFormat="1" ht="12.75" customHeight="1" x14ac:dyDescent="0.25">
      <c r="A15" s="456" t="s">
        <v>656</v>
      </c>
      <c r="B15" s="409">
        <v>45756</v>
      </c>
      <c r="C15" s="457">
        <v>9500</v>
      </c>
      <c r="D15" s="231" t="s">
        <v>658</v>
      </c>
      <c r="E15" s="412"/>
      <c r="F15" s="412">
        <f t="shared" si="0"/>
        <v>13500</v>
      </c>
      <c r="G15" s="445">
        <f>79+929.5</f>
        <v>1008.5</v>
      </c>
      <c r="H15" s="413">
        <f t="shared" si="1"/>
        <v>3072.57</v>
      </c>
      <c r="I15" s="413">
        <f t="shared" si="2"/>
        <v>10427.429999999998</v>
      </c>
      <c r="J15" s="414"/>
    </row>
    <row r="16" spans="1:10" s="330" customFormat="1" ht="12.75" customHeight="1" x14ac:dyDescent="0.25">
      <c r="A16" s="456" t="s">
        <v>727</v>
      </c>
      <c r="B16" s="409">
        <v>45786</v>
      </c>
      <c r="C16" s="457">
        <v>2507</v>
      </c>
      <c r="D16" s="458" t="s">
        <v>729</v>
      </c>
      <c r="E16" s="412"/>
      <c r="F16" s="412">
        <f t="shared" si="0"/>
        <v>13500</v>
      </c>
      <c r="G16" s="445">
        <f>17.36+23.14</f>
        <v>40.5</v>
      </c>
      <c r="H16" s="413">
        <f t="shared" si="1"/>
        <v>3113.07</v>
      </c>
      <c r="I16" s="413">
        <f t="shared" si="2"/>
        <v>10386.929999999998</v>
      </c>
      <c r="J16" s="414"/>
    </row>
    <row r="17" spans="1:10" s="330" customFormat="1" ht="12.75" customHeight="1" x14ac:dyDescent="0.25">
      <c r="A17" s="456" t="s">
        <v>727</v>
      </c>
      <c r="B17" s="409">
        <v>45786</v>
      </c>
      <c r="C17" s="457">
        <v>9500</v>
      </c>
      <c r="D17" s="231" t="s">
        <v>730</v>
      </c>
      <c r="E17" s="412"/>
      <c r="F17" s="412">
        <f t="shared" si="0"/>
        <v>13500</v>
      </c>
      <c r="G17" s="445">
        <f>21.5+254.1</f>
        <v>275.60000000000002</v>
      </c>
      <c r="H17" s="413">
        <f t="shared" si="1"/>
        <v>3388.67</v>
      </c>
      <c r="I17" s="413">
        <f t="shared" si="2"/>
        <v>10111.329999999998</v>
      </c>
      <c r="J17" s="414"/>
    </row>
    <row r="18" spans="1:10" s="330" customFormat="1" ht="12.75" customHeight="1" x14ac:dyDescent="0.25">
      <c r="A18" s="456" t="s">
        <v>822</v>
      </c>
      <c r="B18" s="409">
        <v>45817</v>
      </c>
      <c r="C18" s="457">
        <v>2507</v>
      </c>
      <c r="D18" s="458" t="s">
        <v>823</v>
      </c>
      <c r="E18" s="412"/>
      <c r="F18" s="412">
        <f t="shared" si="0"/>
        <v>13500</v>
      </c>
      <c r="G18" s="445">
        <f>56.3+46.28</f>
        <v>102.58</v>
      </c>
      <c r="H18" s="413">
        <f t="shared" si="1"/>
        <v>3491.25</v>
      </c>
      <c r="I18" s="413">
        <f t="shared" si="2"/>
        <v>10008.749999999998</v>
      </c>
      <c r="J18" s="414"/>
    </row>
    <row r="19" spans="1:10" s="330" customFormat="1" ht="12.75" customHeight="1" x14ac:dyDescent="0.25">
      <c r="A19" s="456" t="s">
        <v>822</v>
      </c>
      <c r="B19" s="409">
        <v>45817</v>
      </c>
      <c r="C19" s="457">
        <v>9500</v>
      </c>
      <c r="D19" s="231" t="s">
        <v>824</v>
      </c>
      <c r="E19" s="412"/>
      <c r="F19" s="412">
        <f t="shared" si="0"/>
        <v>13500</v>
      </c>
      <c r="G19" s="445">
        <f>65.5+739.2</f>
        <v>804.7</v>
      </c>
      <c r="H19" s="413">
        <f t="shared" si="1"/>
        <v>4295.95</v>
      </c>
      <c r="I19" s="413">
        <f t="shared" si="2"/>
        <v>9204.0499999999975</v>
      </c>
      <c r="J19" s="414"/>
    </row>
    <row r="20" spans="1:10" s="330" customFormat="1" ht="12.75" customHeight="1" x14ac:dyDescent="0.25">
      <c r="A20" s="456" t="s">
        <v>942</v>
      </c>
      <c r="B20" s="409">
        <v>45848</v>
      </c>
      <c r="C20" s="457">
        <v>2507</v>
      </c>
      <c r="D20" s="458" t="s">
        <v>943</v>
      </c>
      <c r="E20" s="412"/>
      <c r="F20" s="412">
        <f t="shared" si="0"/>
        <v>13500</v>
      </c>
      <c r="G20" s="445">
        <f>29.21+34.36</f>
        <v>63.57</v>
      </c>
      <c r="H20" s="413">
        <f t="shared" si="1"/>
        <v>4359.5199999999995</v>
      </c>
      <c r="I20" s="413">
        <f t="shared" si="2"/>
        <v>9140.4799999999977</v>
      </c>
      <c r="J20" s="414"/>
    </row>
    <row r="21" spans="1:10" s="330" customFormat="1" ht="12.75" customHeight="1" x14ac:dyDescent="0.25">
      <c r="A21" s="456" t="s">
        <v>942</v>
      </c>
      <c r="B21" s="409">
        <v>45848</v>
      </c>
      <c r="C21" s="457">
        <v>9500</v>
      </c>
      <c r="D21" s="231" t="s">
        <v>944</v>
      </c>
      <c r="E21" s="412"/>
      <c r="F21" s="412">
        <f t="shared" si="0"/>
        <v>13500</v>
      </c>
      <c r="G21" s="445">
        <f>43.5+449.9</f>
        <v>493.4</v>
      </c>
      <c r="H21" s="413">
        <f t="shared" si="1"/>
        <v>4852.9199999999992</v>
      </c>
      <c r="I21" s="413">
        <f t="shared" si="2"/>
        <v>8647.0799999999981</v>
      </c>
      <c r="J21" s="414"/>
    </row>
    <row r="22" spans="1:10" s="330" customFormat="1" ht="12.75" customHeight="1" x14ac:dyDescent="0.25">
      <c r="A22" s="456" t="s">
        <v>1009</v>
      </c>
      <c r="B22" s="409">
        <v>45876</v>
      </c>
      <c r="C22" s="457">
        <v>2507</v>
      </c>
      <c r="D22" s="458" t="s">
        <v>1010</v>
      </c>
      <c r="E22" s="412"/>
      <c r="F22" s="412">
        <f t="shared" si="0"/>
        <v>13500</v>
      </c>
      <c r="G22" s="445">
        <f>28.93+41.32</f>
        <v>70.25</v>
      </c>
      <c r="H22" s="413">
        <f t="shared" si="1"/>
        <v>4923.1699999999992</v>
      </c>
      <c r="I22" s="413">
        <f t="shared" si="2"/>
        <v>8576.8299999999981</v>
      </c>
      <c r="J22" s="414"/>
    </row>
    <row r="23" spans="1:10" s="330" customFormat="1" ht="12.75" customHeight="1" x14ac:dyDescent="0.25">
      <c r="A23" s="456" t="s">
        <v>1009</v>
      </c>
      <c r="B23" s="409">
        <v>45876</v>
      </c>
      <c r="C23" s="457">
        <v>9500</v>
      </c>
      <c r="D23" s="231" t="s">
        <v>1011</v>
      </c>
      <c r="E23" s="412"/>
      <c r="F23" s="412">
        <f t="shared" si="0"/>
        <v>13500</v>
      </c>
      <c r="G23" s="445">
        <f>49+723.8</f>
        <v>772.8</v>
      </c>
      <c r="H23" s="413">
        <f t="shared" si="1"/>
        <v>5695.9699999999993</v>
      </c>
      <c r="I23" s="413">
        <f t="shared" si="2"/>
        <v>7804.0299999999979</v>
      </c>
      <c r="J23" s="414"/>
    </row>
    <row r="24" spans="1:10" s="330" customFormat="1" ht="12.75" customHeight="1" x14ac:dyDescent="0.25">
      <c r="A24" s="456" t="s">
        <v>1177</v>
      </c>
      <c r="B24" s="409">
        <v>45908</v>
      </c>
      <c r="C24" s="457">
        <v>2507</v>
      </c>
      <c r="D24" s="458" t="s">
        <v>1182</v>
      </c>
      <c r="E24" s="412"/>
      <c r="F24" s="412">
        <f t="shared" si="0"/>
        <v>13500</v>
      </c>
      <c r="G24" s="445">
        <v>33.700000000000003</v>
      </c>
      <c r="H24" s="413">
        <f t="shared" si="1"/>
        <v>5729.6699999999992</v>
      </c>
      <c r="I24" s="413">
        <f t="shared" si="2"/>
        <v>7770.3299999999981</v>
      </c>
      <c r="J24" s="414"/>
    </row>
    <row r="25" spans="1:10" s="330" customFormat="1" ht="12.75" customHeight="1" x14ac:dyDescent="0.25">
      <c r="A25" s="456" t="s">
        <v>1177</v>
      </c>
      <c r="B25" s="409">
        <v>45908</v>
      </c>
      <c r="C25" s="457">
        <v>9500</v>
      </c>
      <c r="D25" s="231" t="s">
        <v>1181</v>
      </c>
      <c r="E25" s="412"/>
      <c r="F25" s="412">
        <f t="shared" si="0"/>
        <v>13500</v>
      </c>
      <c r="G25" s="445">
        <v>262.39999999999998</v>
      </c>
      <c r="H25" s="413">
        <f t="shared" si="1"/>
        <v>5992.0699999999988</v>
      </c>
      <c r="I25" s="413">
        <f t="shared" si="2"/>
        <v>7507.9299999999985</v>
      </c>
      <c r="J25" s="414"/>
    </row>
    <row r="26" spans="1:10" s="330" customFormat="1" ht="12.75" customHeight="1" x14ac:dyDescent="0.25">
      <c r="A26" s="456" t="s">
        <v>1233</v>
      </c>
      <c r="B26" s="409">
        <v>45937</v>
      </c>
      <c r="C26" s="457" t="s">
        <v>1234</v>
      </c>
      <c r="D26" s="458" t="s">
        <v>1235</v>
      </c>
      <c r="E26" s="412"/>
      <c r="F26" s="412">
        <f t="shared" si="0"/>
        <v>13500</v>
      </c>
      <c r="G26" s="445">
        <v>88.05</v>
      </c>
      <c r="H26" s="413">
        <f t="shared" si="1"/>
        <v>6080.119999999999</v>
      </c>
      <c r="I26" s="413">
        <f t="shared" si="2"/>
        <v>7419.8799999999983</v>
      </c>
      <c r="J26" s="414"/>
    </row>
    <row r="27" spans="1:10" s="330" customFormat="1" ht="12.75" customHeight="1" x14ac:dyDescent="0.25">
      <c r="A27" s="456" t="s">
        <v>1233</v>
      </c>
      <c r="B27" s="409">
        <v>45937</v>
      </c>
      <c r="C27" s="457">
        <v>9500</v>
      </c>
      <c r="D27" s="231" t="s">
        <v>1236</v>
      </c>
      <c r="E27" s="412"/>
      <c r="F27" s="412">
        <f t="shared" si="0"/>
        <v>13500</v>
      </c>
      <c r="G27" s="445">
        <v>453.5</v>
      </c>
      <c r="H27" s="413">
        <f t="shared" si="1"/>
        <v>6533.619999999999</v>
      </c>
      <c r="I27" s="413">
        <f t="shared" si="2"/>
        <v>6966.3799999999983</v>
      </c>
      <c r="J27" s="414"/>
    </row>
    <row r="28" spans="1:10" s="330" customFormat="1" ht="12.75" customHeight="1" x14ac:dyDescent="0.25">
      <c r="A28" s="456" t="s">
        <v>1322</v>
      </c>
      <c r="B28" s="409">
        <v>45968</v>
      </c>
      <c r="C28" s="457" t="s">
        <v>1234</v>
      </c>
      <c r="D28" s="458" t="s">
        <v>1327</v>
      </c>
      <c r="E28" s="412"/>
      <c r="F28" s="412">
        <f t="shared" si="0"/>
        <v>13500</v>
      </c>
      <c r="G28" s="445">
        <v>16.3</v>
      </c>
      <c r="H28" s="413">
        <f t="shared" si="1"/>
        <v>6549.9199999999992</v>
      </c>
      <c r="I28" s="413">
        <f t="shared" si="2"/>
        <v>6950.0799999999981</v>
      </c>
      <c r="J28" s="414"/>
    </row>
    <row r="29" spans="1:10" s="330" customFormat="1" ht="12.75" customHeight="1" x14ac:dyDescent="0.25">
      <c r="A29" s="456" t="s">
        <v>1322</v>
      </c>
      <c r="B29" s="409">
        <v>45968</v>
      </c>
      <c r="C29" s="457">
        <v>9500</v>
      </c>
      <c r="D29" s="231" t="s">
        <v>1326</v>
      </c>
      <c r="E29" s="412"/>
      <c r="F29" s="412">
        <f t="shared" si="0"/>
        <v>13500</v>
      </c>
      <c r="G29" s="445">
        <v>159.69999999999999</v>
      </c>
      <c r="H29" s="413">
        <f t="shared" si="1"/>
        <v>6709.619999999999</v>
      </c>
      <c r="I29" s="413">
        <f t="shared" si="2"/>
        <v>6790.3799999999983</v>
      </c>
      <c r="J29" s="414"/>
    </row>
    <row r="30" spans="1:10" s="330" customFormat="1" ht="12.75" customHeight="1" x14ac:dyDescent="0.25">
      <c r="A30" s="456" t="s">
        <v>1423</v>
      </c>
      <c r="B30" s="409">
        <v>45996</v>
      </c>
      <c r="C30" s="412" t="s">
        <v>1234</v>
      </c>
      <c r="D30" s="458" t="s">
        <v>1424</v>
      </c>
      <c r="E30" s="412"/>
      <c r="F30" s="412">
        <f t="shared" si="0"/>
        <v>13500</v>
      </c>
      <c r="G30" s="445">
        <v>6.95</v>
      </c>
      <c r="H30" s="413">
        <f t="shared" si="1"/>
        <v>6716.5699999999988</v>
      </c>
      <c r="I30" s="413">
        <f t="shared" si="2"/>
        <v>6783.4299999999985</v>
      </c>
      <c r="J30" s="414"/>
    </row>
    <row r="31" spans="1:10" s="330" customFormat="1" ht="12.75" customHeight="1" x14ac:dyDescent="0.25">
      <c r="A31" s="456" t="s">
        <v>1423</v>
      </c>
      <c r="B31" s="409">
        <v>45996</v>
      </c>
      <c r="C31" s="484">
        <v>9500</v>
      </c>
      <c r="D31" s="231" t="s">
        <v>1425</v>
      </c>
      <c r="E31" s="412"/>
      <c r="F31" s="412">
        <f t="shared" si="0"/>
        <v>13500</v>
      </c>
      <c r="G31" s="445">
        <v>44.3</v>
      </c>
      <c r="H31" s="413">
        <f t="shared" si="1"/>
        <v>6760.869999999999</v>
      </c>
      <c r="I31" s="413">
        <f t="shared" si="2"/>
        <v>6739.1299999999983</v>
      </c>
      <c r="J31" s="414"/>
    </row>
    <row r="32" spans="1:10" s="330" customFormat="1" ht="12.75" customHeight="1" x14ac:dyDescent="0.2">
      <c r="A32" s="169" t="s">
        <v>1482</v>
      </c>
      <c r="B32" s="145">
        <v>46030</v>
      </c>
      <c r="C32" s="147" t="s">
        <v>1234</v>
      </c>
      <c r="D32" s="222" t="s">
        <v>1483</v>
      </c>
      <c r="E32" s="412"/>
      <c r="F32" s="412">
        <f t="shared" si="0"/>
        <v>13500</v>
      </c>
      <c r="G32" s="445">
        <v>12.35</v>
      </c>
      <c r="H32" s="413">
        <f t="shared" si="1"/>
        <v>6773.2199999999993</v>
      </c>
      <c r="I32" s="413">
        <f t="shared" si="2"/>
        <v>6726.7799999999979</v>
      </c>
      <c r="J32" s="414"/>
    </row>
    <row r="33" spans="1:10" s="330" customFormat="1" ht="12.75" customHeight="1" x14ac:dyDescent="0.2">
      <c r="A33" s="169" t="s">
        <v>1482</v>
      </c>
      <c r="B33" s="145">
        <v>46030</v>
      </c>
      <c r="C33" s="346">
        <v>9500</v>
      </c>
      <c r="D33" s="119" t="s">
        <v>1484</v>
      </c>
      <c r="E33" s="412"/>
      <c r="F33" s="412">
        <f t="shared" si="0"/>
        <v>13500</v>
      </c>
      <c r="G33" s="445">
        <v>139.4</v>
      </c>
      <c r="H33" s="413">
        <f t="shared" si="1"/>
        <v>6912.619999999999</v>
      </c>
      <c r="I33" s="413">
        <f t="shared" si="2"/>
        <v>6587.3799999999983</v>
      </c>
      <c r="J33" s="414"/>
    </row>
    <row r="34" spans="1:10" s="330" customFormat="1" ht="12.75" customHeight="1" x14ac:dyDescent="0.2">
      <c r="A34" s="169" t="s">
        <v>1545</v>
      </c>
      <c r="B34" s="145">
        <v>46062</v>
      </c>
      <c r="C34" s="147" t="s">
        <v>1234</v>
      </c>
      <c r="D34" s="222" t="s">
        <v>1546</v>
      </c>
      <c r="E34" s="412"/>
      <c r="F34" s="412">
        <f t="shared" si="0"/>
        <v>13500</v>
      </c>
      <c r="G34" s="445">
        <v>39.04</v>
      </c>
      <c r="H34" s="413">
        <f t="shared" si="1"/>
        <v>6951.6599999999989</v>
      </c>
      <c r="I34" s="413">
        <f t="shared" si="2"/>
        <v>6548.3399999999983</v>
      </c>
      <c r="J34" s="414"/>
    </row>
    <row r="35" spans="1:10" s="330" customFormat="1" ht="12.75" customHeight="1" x14ac:dyDescent="0.2">
      <c r="A35" s="169" t="s">
        <v>1545</v>
      </c>
      <c r="B35" s="145">
        <v>46062</v>
      </c>
      <c r="C35" s="346">
        <v>9500</v>
      </c>
      <c r="D35" s="119" t="s">
        <v>1547</v>
      </c>
      <c r="E35" s="412"/>
      <c r="F35" s="412">
        <f t="shared" si="0"/>
        <v>13500</v>
      </c>
      <c r="G35" s="445">
        <v>481.7</v>
      </c>
      <c r="H35" s="413">
        <f t="shared" si="1"/>
        <v>7433.3599999999988</v>
      </c>
      <c r="I35" s="413">
        <f t="shared" si="2"/>
        <v>6066.6399999999985</v>
      </c>
      <c r="J35" s="414"/>
    </row>
    <row r="36" spans="1:10" s="330" customFormat="1" ht="12.75" customHeight="1" x14ac:dyDescent="0.2">
      <c r="A36" s="169" t="s">
        <v>1663</v>
      </c>
      <c r="B36" s="145">
        <v>46090</v>
      </c>
      <c r="C36" s="147" t="s">
        <v>1234</v>
      </c>
      <c r="D36" s="222" t="s">
        <v>1664</v>
      </c>
      <c r="E36" s="412"/>
      <c r="F36" s="412">
        <f t="shared" si="0"/>
        <v>13500</v>
      </c>
      <c r="G36" s="445">
        <v>24.83</v>
      </c>
      <c r="H36" s="413">
        <f t="shared" si="1"/>
        <v>7458.1899999999987</v>
      </c>
      <c r="I36" s="413">
        <f t="shared" si="2"/>
        <v>6041.8099999999986</v>
      </c>
      <c r="J36" s="414"/>
    </row>
    <row r="37" spans="1:10" s="330" customFormat="1" ht="12.75" customHeight="1" x14ac:dyDescent="0.2">
      <c r="A37" s="169" t="s">
        <v>1663</v>
      </c>
      <c r="B37" s="145">
        <v>46090</v>
      </c>
      <c r="C37" s="346">
        <v>9500</v>
      </c>
      <c r="D37" s="119" t="s">
        <v>1665</v>
      </c>
      <c r="E37" s="412"/>
      <c r="F37" s="412">
        <f t="shared" si="0"/>
        <v>13500</v>
      </c>
      <c r="G37" s="445">
        <v>287.60000000000002</v>
      </c>
      <c r="H37" s="413">
        <f t="shared" si="1"/>
        <v>7745.7899999999991</v>
      </c>
      <c r="I37" s="413">
        <f t="shared" si="2"/>
        <v>5754.2099999999982</v>
      </c>
      <c r="J37" s="414"/>
    </row>
    <row r="38" spans="1:10" s="330" customFormat="1" ht="12.75" customHeight="1" x14ac:dyDescent="0.2">
      <c r="A38" s="169" t="s">
        <v>1751</v>
      </c>
      <c r="B38" s="145">
        <v>46118</v>
      </c>
      <c r="C38" s="147" t="s">
        <v>1234</v>
      </c>
      <c r="D38" s="222" t="s">
        <v>1752</v>
      </c>
      <c r="E38" s="412"/>
      <c r="F38" s="412">
        <f t="shared" si="0"/>
        <v>13500</v>
      </c>
      <c r="G38" s="445">
        <v>46.8</v>
      </c>
      <c r="H38" s="413">
        <f t="shared" si="1"/>
        <v>7792.5899999999992</v>
      </c>
      <c r="I38" s="413">
        <f t="shared" si="2"/>
        <v>5707.409999999998</v>
      </c>
      <c r="J38" s="414"/>
    </row>
    <row r="39" spans="1:10" s="330" customFormat="1" ht="12.75" customHeight="1" x14ac:dyDescent="0.2">
      <c r="A39" s="169" t="s">
        <v>1751</v>
      </c>
      <c r="B39" s="145">
        <v>46118</v>
      </c>
      <c r="C39" s="346">
        <v>9500</v>
      </c>
      <c r="D39" s="119" t="s">
        <v>1753</v>
      </c>
      <c r="E39" s="412"/>
      <c r="F39" s="412">
        <f t="shared" si="0"/>
        <v>13500</v>
      </c>
      <c r="G39" s="445">
        <v>379.4</v>
      </c>
      <c r="H39" s="413">
        <f t="shared" si="1"/>
        <v>8171.9899999999989</v>
      </c>
      <c r="I39" s="413">
        <f t="shared" si="2"/>
        <v>5328.0099999999984</v>
      </c>
      <c r="J39" s="414"/>
    </row>
    <row r="40" spans="1:10" s="330" customFormat="1" ht="12.75" customHeight="1" x14ac:dyDescent="0.2">
      <c r="A40" s="169"/>
      <c r="B40" s="145"/>
      <c r="C40" s="346"/>
      <c r="D40" s="119"/>
      <c r="E40" s="412"/>
      <c r="F40" s="412">
        <f t="shared" si="0"/>
        <v>13500</v>
      </c>
      <c r="G40" s="422"/>
      <c r="H40" s="413">
        <f t="shared" si="1"/>
        <v>8171.9899999999989</v>
      </c>
      <c r="I40" s="413">
        <f t="shared" si="2"/>
        <v>5328.0099999999984</v>
      </c>
      <c r="J40" s="414"/>
    </row>
    <row r="41" spans="1:10" s="330" customFormat="1" ht="12.75" customHeight="1" x14ac:dyDescent="0.2">
      <c r="A41" s="169"/>
      <c r="B41" s="145"/>
      <c r="C41" s="346"/>
      <c r="D41" s="119"/>
      <c r="E41" s="412"/>
      <c r="F41" s="412">
        <f t="shared" si="0"/>
        <v>13500</v>
      </c>
      <c r="G41" s="422"/>
      <c r="H41" s="413">
        <f t="shared" si="1"/>
        <v>8171.9899999999989</v>
      </c>
      <c r="I41" s="413">
        <f t="shared" si="2"/>
        <v>5328.0099999999984</v>
      </c>
      <c r="J41" s="414"/>
    </row>
    <row r="42" spans="1:10" s="330" customFormat="1" ht="12.75" customHeight="1" x14ac:dyDescent="0.25">
      <c r="C42" s="457"/>
      <c r="E42" s="412"/>
      <c r="F42" s="412">
        <f t="shared" si="0"/>
        <v>13500</v>
      </c>
      <c r="G42" s="422"/>
      <c r="H42" s="413">
        <f t="shared" si="1"/>
        <v>8171.9899999999989</v>
      </c>
      <c r="I42" s="413">
        <f t="shared" si="2"/>
        <v>5328.0099999999984</v>
      </c>
      <c r="J42" s="414"/>
    </row>
    <row r="43" spans="1:10" s="330" customFormat="1" ht="12.75" customHeight="1" x14ac:dyDescent="0.25">
      <c r="A43" s="231"/>
      <c r="B43" s="410"/>
      <c r="C43" s="457"/>
      <c r="D43" s="425"/>
      <c r="E43" s="413"/>
      <c r="F43" s="413"/>
      <c r="G43" s="413"/>
      <c r="H43" s="413"/>
      <c r="I43" s="413"/>
      <c r="J43" s="414"/>
    </row>
    <row r="44" spans="1:10" s="330" customFormat="1" ht="12.75" customHeight="1" thickBot="1" x14ac:dyDescent="0.3">
      <c r="A44" s="231"/>
      <c r="B44" s="449"/>
      <c r="C44" s="457"/>
      <c r="D44" s="450" t="s">
        <v>54</v>
      </c>
      <c r="E44" s="426">
        <f>SUM(E9:E43)</f>
        <v>13500</v>
      </c>
      <c r="F44" s="426"/>
      <c r="G44" s="426">
        <f>SUM(G9:G43)</f>
        <v>8171.9899999999989</v>
      </c>
      <c r="H44" s="426"/>
      <c r="I44" s="426">
        <f>E44-G44</f>
        <v>5328.0100000000011</v>
      </c>
      <c r="J44" s="414"/>
    </row>
    <row r="45" spans="1:10" s="330" customFormat="1" ht="12.75" customHeight="1" thickTop="1" x14ac:dyDescent="0.25"/>
    <row r="46" spans="1:10" s="330" customFormat="1" ht="12.75" customHeight="1" x14ac:dyDescent="0.25"/>
    <row r="47" spans="1:10" s="330" customFormat="1" ht="12.75" customHeight="1" x14ac:dyDescent="0.25"/>
    <row r="48" spans="1:10" s="330" customFormat="1" ht="12.75" customHeight="1" x14ac:dyDescent="0.25"/>
    <row r="49"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B9D8-79CD-4CF0-B3D2-E745672BB2D4}">
  <sheetPr codeName="Sheet14">
    <pageSetUpPr fitToPage="1"/>
  </sheetPr>
  <dimension ref="A1:J2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7.710937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78" t="str">
        <f>'RECAP #9239.02'!B1</f>
        <v>DOC-NCF-IPI Homes or Iowa Facility Project Phase II(Warehouse)</v>
      </c>
      <c r="B1" s="79"/>
      <c r="C1" s="6"/>
      <c r="D1" s="6"/>
      <c r="E1" s="6"/>
      <c r="F1" s="124"/>
      <c r="G1" s="124"/>
      <c r="H1" s="125"/>
      <c r="I1" s="125"/>
    </row>
    <row r="2" spans="1:10" ht="15.75" x14ac:dyDescent="0.25">
      <c r="A2" s="81" t="str">
        <f>'RECAP #9239.02'!B2</f>
        <v>Project # 9239.02</v>
      </c>
      <c r="B2" s="80"/>
      <c r="C2" s="6"/>
      <c r="D2" s="6"/>
      <c r="E2" s="6"/>
      <c r="F2" s="124"/>
      <c r="G2" s="124"/>
      <c r="H2" s="125"/>
      <c r="I2" s="125"/>
    </row>
    <row r="3" spans="1:10" ht="15.75" x14ac:dyDescent="0.25">
      <c r="A3" s="82" t="str">
        <f>'RECAP #9239.02'!B3</f>
        <v>Program code 923902</v>
      </c>
      <c r="B3" s="80"/>
      <c r="C3" s="6"/>
      <c r="D3" s="83" t="str">
        <f>'RECAP #9239.02'!E3</f>
        <v>Major Program 4B01</v>
      </c>
      <c r="E3" s="6"/>
      <c r="F3" s="124"/>
      <c r="G3" s="124"/>
      <c r="H3" s="125"/>
      <c r="I3" s="125"/>
    </row>
    <row r="4" spans="1:10" ht="15.75" x14ac:dyDescent="0.25">
      <c r="A4" s="109" t="s">
        <v>700</v>
      </c>
      <c r="B4" s="126"/>
      <c r="C4" s="127"/>
      <c r="D4" s="128" t="s">
        <v>704</v>
      </c>
      <c r="E4" s="124"/>
      <c r="F4" s="124"/>
      <c r="G4" s="124"/>
      <c r="H4" s="125"/>
      <c r="I4" s="125"/>
    </row>
    <row r="5" spans="1:10" ht="15.75" x14ac:dyDescent="0.25">
      <c r="A5" s="129" t="s">
        <v>109</v>
      </c>
      <c r="B5" s="130"/>
      <c r="C5" s="131"/>
      <c r="D5" s="132" t="s">
        <v>1316</v>
      </c>
      <c r="E5" s="133"/>
      <c r="F5" s="134"/>
      <c r="G5" s="134"/>
      <c r="H5" s="130"/>
      <c r="I5" s="125"/>
    </row>
    <row r="6" spans="1:10" ht="15.75" x14ac:dyDescent="0.25">
      <c r="A6" s="86" t="str">
        <f>'RECAP #9239.02'!B6</f>
        <v>Project Manager - Brad T.</v>
      </c>
      <c r="B6" s="86"/>
      <c r="C6" s="135"/>
      <c r="D6" s="136" t="s">
        <v>202</v>
      </c>
      <c r="E6" s="137"/>
      <c r="F6" s="138"/>
      <c r="G6" s="134"/>
      <c r="H6" s="130"/>
      <c r="I6" s="125"/>
    </row>
    <row r="7" spans="1:10" ht="15.75" x14ac:dyDescent="0.25">
      <c r="A7" s="125"/>
      <c r="B7" s="139"/>
      <c r="C7" s="139"/>
      <c r="D7" s="125" t="s">
        <v>1400</v>
      </c>
      <c r="E7" s="138"/>
      <c r="F7" s="138"/>
      <c r="G7" s="134"/>
      <c r="H7" s="130"/>
      <c r="I7" s="125" t="s">
        <v>3</v>
      </c>
    </row>
    <row r="8" spans="1:10" ht="32.25" thickBot="1" x14ac:dyDescent="0.3">
      <c r="A8" s="140" t="s">
        <v>49</v>
      </c>
      <c r="B8" s="141" t="s">
        <v>4</v>
      </c>
      <c r="C8" s="142" t="s">
        <v>11</v>
      </c>
      <c r="D8" s="143" t="s">
        <v>50</v>
      </c>
      <c r="E8" s="143" t="s">
        <v>51</v>
      </c>
      <c r="F8" s="143" t="s">
        <v>52</v>
      </c>
      <c r="G8" s="143" t="s">
        <v>53</v>
      </c>
      <c r="H8" s="143" t="s">
        <v>12</v>
      </c>
      <c r="I8" s="125" t="s">
        <v>3</v>
      </c>
    </row>
    <row r="9" spans="1:10" ht="12.75" customHeight="1" x14ac:dyDescent="0.25">
      <c r="A9" s="408" t="s">
        <v>1317</v>
      </c>
      <c r="B9" s="409">
        <v>45968</v>
      </c>
      <c r="C9" s="410" t="s">
        <v>1321</v>
      </c>
      <c r="D9" s="411">
        <v>15170</v>
      </c>
      <c r="E9" s="412">
        <f>D9</f>
        <v>15170</v>
      </c>
      <c r="F9" s="413"/>
      <c r="G9" s="413"/>
      <c r="H9" s="413">
        <f>E9</f>
        <v>15170</v>
      </c>
      <c r="I9" s="444"/>
      <c r="J9" s="330"/>
    </row>
    <row r="10" spans="1:10" ht="12.75" customHeight="1" x14ac:dyDescent="0.25">
      <c r="A10" s="408" t="s">
        <v>1399</v>
      </c>
      <c r="B10" s="240">
        <v>46002</v>
      </c>
      <c r="C10" s="410" t="s">
        <v>1402</v>
      </c>
      <c r="D10" s="412"/>
      <c r="E10" s="412">
        <f t="shared" ref="E10:E21" si="0">E9+D10</f>
        <v>15170</v>
      </c>
      <c r="F10" s="445">
        <v>691.5</v>
      </c>
      <c r="G10" s="413">
        <f t="shared" ref="G10:G21" si="1">G9+F10</f>
        <v>691.5</v>
      </c>
      <c r="H10" s="413">
        <f t="shared" ref="H10:H21" si="2">H9-F10+D10</f>
        <v>14478.5</v>
      </c>
      <c r="I10" s="446"/>
      <c r="J10" s="330"/>
    </row>
    <row r="11" spans="1:10" ht="12.75" customHeight="1" x14ac:dyDescent="0.25">
      <c r="A11" s="408" t="s">
        <v>1446</v>
      </c>
      <c r="B11" s="409">
        <v>46020</v>
      </c>
      <c r="C11" s="410" t="s">
        <v>1447</v>
      </c>
      <c r="D11" s="411"/>
      <c r="E11" s="412">
        <f t="shared" si="0"/>
        <v>15170</v>
      </c>
      <c r="F11" s="445">
        <v>947.5</v>
      </c>
      <c r="G11" s="413">
        <f t="shared" si="1"/>
        <v>1639</v>
      </c>
      <c r="H11" s="413">
        <f t="shared" si="2"/>
        <v>13531</v>
      </c>
      <c r="I11" s="444"/>
      <c r="J11" s="330"/>
    </row>
    <row r="12" spans="1:10" ht="12.75" customHeight="1" x14ac:dyDescent="0.25">
      <c r="A12" s="408" t="s">
        <v>1636</v>
      </c>
      <c r="B12" s="409">
        <v>46077</v>
      </c>
      <c r="C12" s="410" t="s">
        <v>1637</v>
      </c>
      <c r="D12" s="412"/>
      <c r="E12" s="412">
        <f t="shared" si="0"/>
        <v>15170</v>
      </c>
      <c r="F12" s="445">
        <v>1645.5</v>
      </c>
      <c r="G12" s="413">
        <f t="shared" si="1"/>
        <v>3284.5</v>
      </c>
      <c r="H12" s="413">
        <f t="shared" si="2"/>
        <v>11885.5</v>
      </c>
      <c r="I12" s="444"/>
      <c r="J12" s="330"/>
    </row>
    <row r="13" spans="1:10" ht="12.75" customHeight="1" x14ac:dyDescent="0.25">
      <c r="A13" s="408" t="s">
        <v>1656</v>
      </c>
      <c r="B13" s="409">
        <v>46085</v>
      </c>
      <c r="C13" s="410" t="s">
        <v>1657</v>
      </c>
      <c r="D13" s="412"/>
      <c r="E13" s="412">
        <f t="shared" si="0"/>
        <v>15170</v>
      </c>
      <c r="F13" s="445">
        <v>2203</v>
      </c>
      <c r="G13" s="413">
        <f t="shared" si="1"/>
        <v>5487.5</v>
      </c>
      <c r="H13" s="413">
        <f t="shared" si="2"/>
        <v>9682.5</v>
      </c>
      <c r="I13" s="444"/>
      <c r="J13" s="330"/>
    </row>
    <row r="14" spans="1:10" ht="12.75" customHeight="1" x14ac:dyDescent="0.25">
      <c r="A14" s="408" t="s">
        <v>1746</v>
      </c>
      <c r="B14" s="409">
        <v>46119</v>
      </c>
      <c r="C14" s="410" t="s">
        <v>1747</v>
      </c>
      <c r="D14" s="412"/>
      <c r="E14" s="412">
        <f t="shared" si="0"/>
        <v>15170</v>
      </c>
      <c r="F14" s="445">
        <v>447.5</v>
      </c>
      <c r="G14" s="413">
        <f t="shared" si="1"/>
        <v>5935</v>
      </c>
      <c r="H14" s="413">
        <f t="shared" si="2"/>
        <v>9235</v>
      </c>
      <c r="I14" s="444"/>
      <c r="J14" s="330"/>
    </row>
    <row r="15" spans="1:10" ht="12.75" customHeight="1" x14ac:dyDescent="0.25">
      <c r="A15" s="408" t="s">
        <v>1810</v>
      </c>
      <c r="B15" s="409">
        <v>46141</v>
      </c>
      <c r="C15" s="410" t="s">
        <v>1811</v>
      </c>
      <c r="D15" s="412"/>
      <c r="E15" s="412">
        <f t="shared" si="0"/>
        <v>15170</v>
      </c>
      <c r="F15" s="445">
        <v>4942</v>
      </c>
      <c r="G15" s="413">
        <f t="shared" si="1"/>
        <v>10877</v>
      </c>
      <c r="H15" s="413">
        <f t="shared" si="2"/>
        <v>4293</v>
      </c>
      <c r="I15" s="444"/>
      <c r="J15" s="330"/>
    </row>
    <row r="16" spans="1:10" ht="12.75" customHeight="1" x14ac:dyDescent="0.25">
      <c r="A16" s="408"/>
      <c r="B16" s="409"/>
      <c r="C16" s="410"/>
      <c r="D16" s="412"/>
      <c r="E16" s="412">
        <f t="shared" si="0"/>
        <v>15170</v>
      </c>
      <c r="F16" s="422"/>
      <c r="G16" s="413">
        <f t="shared" si="1"/>
        <v>10877</v>
      </c>
      <c r="H16" s="413">
        <f t="shared" si="2"/>
        <v>4293</v>
      </c>
      <c r="I16" s="444"/>
      <c r="J16" s="330"/>
    </row>
    <row r="17" spans="1:10" ht="12.75" customHeight="1" x14ac:dyDescent="0.25">
      <c r="A17" s="408"/>
      <c r="B17" s="409"/>
      <c r="C17" s="410"/>
      <c r="D17" s="412"/>
      <c r="E17" s="412">
        <f t="shared" si="0"/>
        <v>15170</v>
      </c>
      <c r="F17" s="422"/>
      <c r="G17" s="413">
        <f t="shared" si="1"/>
        <v>10877</v>
      </c>
      <c r="H17" s="413">
        <f t="shared" si="2"/>
        <v>4293</v>
      </c>
      <c r="I17" s="444"/>
      <c r="J17" s="330"/>
    </row>
    <row r="18" spans="1:10" ht="12.75" customHeight="1" x14ac:dyDescent="0.25">
      <c r="A18" s="408"/>
      <c r="B18" s="409"/>
      <c r="C18" s="410"/>
      <c r="D18" s="412"/>
      <c r="E18" s="412">
        <f t="shared" si="0"/>
        <v>15170</v>
      </c>
      <c r="F18" s="422"/>
      <c r="G18" s="413">
        <f t="shared" si="1"/>
        <v>10877</v>
      </c>
      <c r="H18" s="413">
        <f t="shared" si="2"/>
        <v>4293</v>
      </c>
      <c r="I18" s="444"/>
      <c r="J18" s="330"/>
    </row>
    <row r="19" spans="1:10" ht="12.75" customHeight="1" x14ac:dyDescent="0.25">
      <c r="A19" s="408"/>
      <c r="B19" s="409"/>
      <c r="C19" s="410"/>
      <c r="D19" s="412"/>
      <c r="E19" s="412">
        <f t="shared" si="0"/>
        <v>15170</v>
      </c>
      <c r="F19" s="413"/>
      <c r="G19" s="413">
        <f t="shared" si="1"/>
        <v>10877</v>
      </c>
      <c r="H19" s="413">
        <f t="shared" si="2"/>
        <v>4293</v>
      </c>
      <c r="I19" s="444"/>
      <c r="J19" s="330"/>
    </row>
    <row r="20" spans="1:10" ht="12.75" customHeight="1" x14ac:dyDescent="0.25">
      <c r="A20" s="408"/>
      <c r="B20" s="409"/>
      <c r="C20" s="410"/>
      <c r="D20" s="412"/>
      <c r="E20" s="412">
        <f t="shared" si="0"/>
        <v>15170</v>
      </c>
      <c r="F20" s="413"/>
      <c r="G20" s="413">
        <f t="shared" si="1"/>
        <v>10877</v>
      </c>
      <c r="H20" s="413">
        <f t="shared" si="2"/>
        <v>4293</v>
      </c>
      <c r="I20" s="444"/>
      <c r="J20" s="330"/>
    </row>
    <row r="21" spans="1:10" ht="12.75" customHeight="1" x14ac:dyDescent="0.25">
      <c r="A21" s="408"/>
      <c r="B21" s="409"/>
      <c r="C21" s="423"/>
      <c r="D21" s="412"/>
      <c r="E21" s="412">
        <f t="shared" si="0"/>
        <v>15170</v>
      </c>
      <c r="F21" s="413"/>
      <c r="G21" s="413">
        <f t="shared" si="1"/>
        <v>10877</v>
      </c>
      <c r="H21" s="413">
        <f t="shared" si="2"/>
        <v>4293</v>
      </c>
      <c r="I21" s="444"/>
      <c r="J21" s="330"/>
    </row>
    <row r="22" spans="1:10" ht="12.75" customHeight="1" x14ac:dyDescent="0.25">
      <c r="A22" s="144"/>
      <c r="B22" s="146"/>
      <c r="C22" s="152"/>
      <c r="D22" s="148"/>
      <c r="E22" s="148"/>
      <c r="F22" s="148"/>
      <c r="G22" s="148"/>
      <c r="H22" s="148"/>
      <c r="I22" s="149"/>
    </row>
    <row r="23" spans="1:10" ht="15.75" thickBot="1" x14ac:dyDescent="0.3">
      <c r="A23" s="144"/>
      <c r="B23" s="153"/>
      <c r="C23" s="154" t="s">
        <v>54</v>
      </c>
      <c r="D23" s="123">
        <f>SUM(D9:D22)</f>
        <v>15170</v>
      </c>
      <c r="E23" s="123"/>
      <c r="F23" s="123">
        <f>SUM(F9:F22)</f>
        <v>10877</v>
      </c>
      <c r="G23" s="123"/>
      <c r="H23" s="123">
        <f>D23-F23</f>
        <v>4293</v>
      </c>
      <c r="I23" s="149"/>
    </row>
    <row r="24" spans="1:10" ht="15" customHeight="1" thickTop="1" x14ac:dyDescent="0.25"/>
    <row r="26" spans="1:10" ht="15" customHeight="1" x14ac:dyDescent="0.25">
      <c r="C26" s="152" t="s">
        <v>1287</v>
      </c>
      <c r="D26" s="148">
        <f>'#9239.03 Terracon Consultants'!D23</f>
        <v>4330</v>
      </c>
      <c r="E26" s="148"/>
      <c r="F26" s="148">
        <f>'#9239.03 Terracon Consultants'!F23</f>
        <v>2890</v>
      </c>
      <c r="G26" s="148"/>
      <c r="H26" s="148">
        <f>D26-F26</f>
        <v>1440</v>
      </c>
    </row>
    <row r="27" spans="1:10" ht="15" customHeight="1" thickBot="1" x14ac:dyDescent="0.3">
      <c r="C27" s="173" t="s">
        <v>555</v>
      </c>
      <c r="D27" s="123">
        <f>SUM(D23:D26)</f>
        <v>19500</v>
      </c>
      <c r="E27" s="178"/>
      <c r="F27" s="123">
        <f>SUM(F23:F26)</f>
        <v>13767</v>
      </c>
      <c r="G27" s="178"/>
      <c r="H27" s="123">
        <f>SUM(H23:H26)</f>
        <v>5733</v>
      </c>
    </row>
    <row r="28" spans="1:10"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39">
    <pageSetUpPr fitToPage="1"/>
  </sheetPr>
  <dimension ref="A1:H44"/>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28515625" customWidth="1"/>
    <col min="7" max="7" width="12.42578125" customWidth="1"/>
    <col min="8" max="8" width="15.42578125" customWidth="1"/>
  </cols>
  <sheetData>
    <row r="1" spans="1:8" ht="15.75" x14ac:dyDescent="0.25">
      <c r="A1" s="78" t="str">
        <f>'RECAP #9466.00'!B1</f>
        <v>DOC 3JD CBC New Backup Generator</v>
      </c>
      <c r="B1" s="79"/>
      <c r="C1" s="79"/>
      <c r="D1" s="79"/>
      <c r="E1" s="6"/>
      <c r="F1" s="6"/>
      <c r="G1" s="6"/>
      <c r="H1" s="124"/>
    </row>
    <row r="2" spans="1:8" ht="15.75" x14ac:dyDescent="0.25">
      <c r="A2" s="81" t="str">
        <f>'RECAP #9466.00'!B2</f>
        <v>Project # 9466.00</v>
      </c>
      <c r="B2" s="80"/>
      <c r="C2" s="80"/>
      <c r="D2" s="80"/>
      <c r="E2" s="6"/>
      <c r="F2" s="6"/>
      <c r="G2" s="6"/>
      <c r="H2" s="124"/>
    </row>
    <row r="3" spans="1:8" ht="15.75" x14ac:dyDescent="0.25">
      <c r="A3" s="82" t="str">
        <f>'RECAP #9466.00'!B3</f>
        <v>Program code 946600</v>
      </c>
      <c r="B3" s="80"/>
      <c r="C3" s="80"/>
      <c r="D3" s="80"/>
      <c r="E3" s="83" t="str">
        <f>'RECAP #9466.00'!E3</f>
        <v>Major Program 4E01</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#9466.00'!B6</f>
        <v>Project Manager - Jennie E.</v>
      </c>
      <c r="B6" s="86"/>
      <c r="C6" s="86"/>
      <c r="D6" s="86"/>
      <c r="E6" s="83" t="s">
        <v>596</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59" t="s">
        <v>875</v>
      </c>
      <c r="B9" s="409">
        <v>45831</v>
      </c>
      <c r="C9" s="457">
        <v>9500</v>
      </c>
      <c r="D9" s="484" t="s">
        <v>322</v>
      </c>
      <c r="E9" s="408" t="s">
        <v>876</v>
      </c>
      <c r="F9" s="485" t="s">
        <v>874</v>
      </c>
      <c r="G9" s="445">
        <v>2470</v>
      </c>
      <c r="H9" s="461">
        <f>G9</f>
        <v>2470</v>
      </c>
    </row>
    <row r="10" spans="1:8" s="330" customFormat="1" ht="12.75" customHeight="1" x14ac:dyDescent="0.25">
      <c r="A10" s="408" t="s">
        <v>1070</v>
      </c>
      <c r="B10" s="409">
        <v>45897</v>
      </c>
      <c r="C10" s="457">
        <v>9500</v>
      </c>
      <c r="D10" s="484" t="s">
        <v>322</v>
      </c>
      <c r="E10" s="459" t="s">
        <v>696</v>
      </c>
      <c r="F10" s="381" t="s">
        <v>1071</v>
      </c>
      <c r="G10" s="445">
        <v>200</v>
      </c>
      <c r="H10" s="461">
        <f>H9+G10</f>
        <v>2670</v>
      </c>
    </row>
    <row r="11" spans="1:8" s="330" customFormat="1" ht="12.75" customHeight="1" x14ac:dyDescent="0.25">
      <c r="A11" s="408"/>
      <c r="B11" s="483"/>
      <c r="C11" s="487"/>
      <c r="D11" s="423"/>
      <c r="E11" s="459"/>
      <c r="F11" s="381"/>
      <c r="G11" s="445"/>
      <c r="H11" s="461">
        <f t="shared" ref="H11:H20" si="0">H10+G11</f>
        <v>2670</v>
      </c>
    </row>
    <row r="12" spans="1:8" s="330" customFormat="1" ht="12.75" customHeight="1" x14ac:dyDescent="0.25">
      <c r="A12" s="408" t="s">
        <v>3</v>
      </c>
      <c r="B12" s="483" t="s">
        <v>3</v>
      </c>
      <c r="C12" s="487"/>
      <c r="D12" s="423"/>
      <c r="E12" s="459" t="s">
        <v>3</v>
      </c>
      <c r="F12" s="381"/>
      <c r="G12" s="445"/>
      <c r="H12" s="461">
        <f t="shared" si="0"/>
        <v>2670</v>
      </c>
    </row>
    <row r="13" spans="1:8" s="330" customFormat="1" ht="12.75" customHeight="1" x14ac:dyDescent="0.25">
      <c r="A13" s="408" t="s">
        <v>3</v>
      </c>
      <c r="B13" s="483" t="s">
        <v>3</v>
      </c>
      <c r="C13" s="487"/>
      <c r="D13" s="423"/>
      <c r="E13" s="459" t="s">
        <v>3</v>
      </c>
      <c r="F13" s="381"/>
      <c r="G13" s="445"/>
      <c r="H13" s="461">
        <f t="shared" si="0"/>
        <v>2670</v>
      </c>
    </row>
    <row r="14" spans="1:8" s="330" customFormat="1" ht="12.75" customHeight="1" x14ac:dyDescent="0.25">
      <c r="A14" s="408"/>
      <c r="B14" s="483"/>
      <c r="C14" s="487"/>
      <c r="D14" s="423"/>
      <c r="E14" s="459"/>
      <c r="F14" s="381"/>
      <c r="G14" s="445"/>
      <c r="H14" s="461">
        <f t="shared" si="0"/>
        <v>2670</v>
      </c>
    </row>
    <row r="15" spans="1:8" s="330" customFormat="1" ht="12.75" customHeight="1" x14ac:dyDescent="0.25">
      <c r="A15" s="408"/>
      <c r="B15" s="483"/>
      <c r="C15" s="487"/>
      <c r="D15" s="423"/>
      <c r="E15" s="464"/>
      <c r="F15" s="381"/>
      <c r="G15" s="445"/>
      <c r="H15" s="461">
        <f t="shared" si="0"/>
        <v>2670</v>
      </c>
    </row>
    <row r="16" spans="1:8" s="330" customFormat="1" ht="12.75" customHeight="1" x14ac:dyDescent="0.25">
      <c r="A16" s="408"/>
      <c r="B16" s="483"/>
      <c r="C16" s="487"/>
      <c r="D16" s="423"/>
      <c r="E16" s="459"/>
      <c r="F16" s="381"/>
      <c r="G16" s="445"/>
      <c r="H16" s="461">
        <f t="shared" si="0"/>
        <v>2670</v>
      </c>
    </row>
    <row r="17" spans="1:8" s="330" customFormat="1" ht="12.75" customHeight="1" x14ac:dyDescent="0.25">
      <c r="A17" s="408"/>
      <c r="B17" s="483"/>
      <c r="C17" s="487"/>
      <c r="D17" s="423"/>
      <c r="E17" s="459"/>
      <c r="F17" s="381"/>
      <c r="G17" s="445"/>
      <c r="H17" s="461">
        <f t="shared" si="0"/>
        <v>2670</v>
      </c>
    </row>
    <row r="18" spans="1:8" s="330" customFormat="1" ht="12.75" customHeight="1" x14ac:dyDescent="0.25">
      <c r="A18" s="408"/>
      <c r="B18" s="483"/>
      <c r="C18" s="487"/>
      <c r="D18" s="423"/>
      <c r="E18" s="459"/>
      <c r="F18" s="381"/>
      <c r="G18" s="445"/>
      <c r="H18" s="461">
        <f t="shared" si="0"/>
        <v>2670</v>
      </c>
    </row>
    <row r="19" spans="1:8" s="330" customFormat="1" ht="12.75" customHeight="1" x14ac:dyDescent="0.25">
      <c r="A19" s="408"/>
      <c r="B19" s="483"/>
      <c r="C19" s="487"/>
      <c r="D19" s="423"/>
      <c r="E19" s="459"/>
      <c r="F19" s="381"/>
      <c r="G19" s="445"/>
      <c r="H19" s="461">
        <f t="shared" si="0"/>
        <v>2670</v>
      </c>
    </row>
    <row r="20" spans="1:8" s="330" customFormat="1" ht="12.75" customHeight="1" x14ac:dyDescent="0.25">
      <c r="A20" s="408"/>
      <c r="B20" s="483"/>
      <c r="C20" s="487"/>
      <c r="D20" s="423"/>
      <c r="E20" s="459"/>
      <c r="F20" s="381"/>
      <c r="G20" s="445"/>
      <c r="H20" s="461">
        <f t="shared" si="0"/>
        <v>2670</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54</v>
      </c>
      <c r="F22" s="467"/>
      <c r="G22" s="426">
        <f>SUM(G9:G21)</f>
        <v>2670</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40">
    <pageSetUpPr fitToPage="1"/>
  </sheetPr>
  <dimension ref="A1:I131"/>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7109375" customWidth="1"/>
  </cols>
  <sheetData>
    <row r="1" spans="1:9" ht="15.75" x14ac:dyDescent="0.25">
      <c r="A1" s="78" t="str">
        <f>'RECAP #9466.00'!B1</f>
        <v>DOC 3JD CBC New Backup Generator</v>
      </c>
      <c r="B1" s="79"/>
      <c r="C1" s="6"/>
      <c r="D1" s="6"/>
      <c r="E1" s="6"/>
      <c r="F1" s="124"/>
      <c r="G1" s="124"/>
      <c r="H1" s="125"/>
      <c r="I1" s="125"/>
    </row>
    <row r="2" spans="1:9" ht="15.75" x14ac:dyDescent="0.25">
      <c r="A2" s="81" t="str">
        <f>'RECAP #9466.00'!B2</f>
        <v>Project # 9466.00</v>
      </c>
      <c r="B2" s="80"/>
      <c r="C2" s="6"/>
      <c r="D2" s="6"/>
      <c r="E2" s="6"/>
      <c r="F2" s="124"/>
      <c r="G2" s="124"/>
      <c r="H2" s="125"/>
      <c r="I2" s="125"/>
    </row>
    <row r="3" spans="1:9" ht="15.75" x14ac:dyDescent="0.25">
      <c r="A3" s="82" t="str">
        <f>'RECAP #9466.00'!B3</f>
        <v>Program code 946600</v>
      </c>
      <c r="B3" s="80"/>
      <c r="C3" s="6"/>
      <c r="D3" s="83" t="str">
        <f>'RECAP #9466.00'!E3</f>
        <v>Major Program 4E01</v>
      </c>
      <c r="E3" s="6"/>
      <c r="F3" s="124"/>
      <c r="G3" s="124"/>
      <c r="H3" s="125"/>
      <c r="I3" s="125"/>
    </row>
    <row r="4" spans="1:9" ht="15.75" x14ac:dyDescent="0.25">
      <c r="A4" s="109" t="s">
        <v>159</v>
      </c>
      <c r="B4" s="126"/>
      <c r="C4" s="127"/>
      <c r="D4" s="128" t="s">
        <v>593</v>
      </c>
      <c r="E4" s="124"/>
      <c r="F4" s="124"/>
      <c r="G4" s="124"/>
      <c r="H4" s="125"/>
      <c r="I4" s="125"/>
    </row>
    <row r="5" spans="1:9" ht="15.75" x14ac:dyDescent="0.25">
      <c r="A5" s="129" t="s">
        <v>143</v>
      </c>
      <c r="B5" s="130"/>
      <c r="C5" s="131"/>
      <c r="D5" s="132" t="s">
        <v>594</v>
      </c>
      <c r="E5" s="133"/>
      <c r="F5" s="134"/>
      <c r="G5" s="134"/>
      <c r="H5" s="130"/>
      <c r="I5" s="125"/>
    </row>
    <row r="6" spans="1:9" ht="15.75" x14ac:dyDescent="0.25">
      <c r="A6" s="86" t="str">
        <f>'RECAP #9466.00'!B6</f>
        <v>Project Manager - Jennie E.</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595</v>
      </c>
      <c r="B9" s="409">
        <v>45743</v>
      </c>
      <c r="C9" s="410" t="s">
        <v>107</v>
      </c>
      <c r="D9" s="411">
        <v>36800</v>
      </c>
      <c r="E9" s="412">
        <f>D9</f>
        <v>36800</v>
      </c>
      <c r="F9" s="413"/>
      <c r="G9" s="413"/>
      <c r="H9" s="413">
        <f>E9</f>
        <v>36800</v>
      </c>
      <c r="I9" s="414"/>
    </row>
    <row r="10" spans="1:9" s="330" customFormat="1" ht="12.75" customHeight="1" x14ac:dyDescent="0.25">
      <c r="A10" s="408" t="s">
        <v>693</v>
      </c>
      <c r="B10" s="240">
        <v>45772</v>
      </c>
      <c r="C10" s="410" t="s">
        <v>694</v>
      </c>
      <c r="D10" s="412"/>
      <c r="E10" s="412">
        <f t="shared" ref="E10:E21" si="0">E9+D10</f>
        <v>36800</v>
      </c>
      <c r="F10" s="445">
        <v>12400</v>
      </c>
      <c r="G10" s="413">
        <f t="shared" ref="G10:G21" si="1">G9+F10</f>
        <v>12400</v>
      </c>
      <c r="H10" s="413">
        <f t="shared" ref="H10:H21" si="2">H9-F10+D10</f>
        <v>24400</v>
      </c>
      <c r="I10" s="414"/>
    </row>
    <row r="11" spans="1:9" s="330" customFormat="1" ht="12.75" customHeight="1" x14ac:dyDescent="0.25">
      <c r="A11" s="415" t="s">
        <v>893</v>
      </c>
      <c r="B11" s="480">
        <v>45838</v>
      </c>
      <c r="C11" s="417" t="s">
        <v>894</v>
      </c>
      <c r="D11" s="418"/>
      <c r="E11" s="418">
        <f t="shared" si="0"/>
        <v>36800</v>
      </c>
      <c r="F11" s="419">
        <v>9900</v>
      </c>
      <c r="G11" s="420">
        <f t="shared" si="1"/>
        <v>22300</v>
      </c>
      <c r="H11" s="420">
        <f t="shared" si="2"/>
        <v>14500</v>
      </c>
      <c r="I11" s="421" t="s">
        <v>1015</v>
      </c>
    </row>
    <row r="12" spans="1:9" s="330" customFormat="1" ht="12.75" customHeight="1" x14ac:dyDescent="0.25">
      <c r="A12" s="408" t="s">
        <v>1050</v>
      </c>
      <c r="B12" s="409">
        <v>45890</v>
      </c>
      <c r="C12" s="410" t="s">
        <v>1017</v>
      </c>
      <c r="D12" s="494">
        <v>0</v>
      </c>
      <c r="E12" s="412">
        <f t="shared" si="0"/>
        <v>36800</v>
      </c>
      <c r="F12" s="422"/>
      <c r="G12" s="413">
        <f t="shared" si="1"/>
        <v>22300</v>
      </c>
      <c r="H12" s="413">
        <f t="shared" si="2"/>
        <v>14500</v>
      </c>
      <c r="I12" s="492"/>
    </row>
    <row r="13" spans="1:9" s="330" customFormat="1" ht="12.75" customHeight="1" x14ac:dyDescent="0.25">
      <c r="A13" s="408" t="s">
        <v>1072</v>
      </c>
      <c r="B13" s="409">
        <v>45897</v>
      </c>
      <c r="C13" s="522" t="s">
        <v>1067</v>
      </c>
      <c r="D13" s="412"/>
      <c r="E13" s="412">
        <f t="shared" si="0"/>
        <v>36800</v>
      </c>
      <c r="F13" s="445">
        <v>3300</v>
      </c>
      <c r="G13" s="413">
        <f t="shared" si="1"/>
        <v>25600</v>
      </c>
      <c r="H13" s="413">
        <f t="shared" si="2"/>
        <v>11200</v>
      </c>
      <c r="I13" s="414"/>
    </row>
    <row r="14" spans="1:9" s="330" customFormat="1" ht="12.75" customHeight="1" x14ac:dyDescent="0.25">
      <c r="A14" s="408" t="s">
        <v>1075</v>
      </c>
      <c r="B14" s="409">
        <v>45898</v>
      </c>
      <c r="C14" s="410" t="s">
        <v>1076</v>
      </c>
      <c r="D14" s="412"/>
      <c r="E14" s="412">
        <f t="shared" si="0"/>
        <v>36800</v>
      </c>
      <c r="F14" s="445">
        <v>3200</v>
      </c>
      <c r="G14" s="413">
        <f t="shared" si="1"/>
        <v>28800</v>
      </c>
      <c r="H14" s="413">
        <f t="shared" si="2"/>
        <v>8000</v>
      </c>
      <c r="I14" s="414"/>
    </row>
    <row r="15" spans="1:9" s="330" customFormat="1" ht="12.75" customHeight="1" x14ac:dyDescent="0.25">
      <c r="A15" s="408" t="s">
        <v>1239</v>
      </c>
      <c r="B15" s="409">
        <v>45938</v>
      </c>
      <c r="C15" s="410" t="s">
        <v>1240</v>
      </c>
      <c r="D15" s="412"/>
      <c r="E15" s="412">
        <f t="shared" si="0"/>
        <v>36800</v>
      </c>
      <c r="F15" s="445">
        <v>2000</v>
      </c>
      <c r="G15" s="413">
        <f t="shared" si="1"/>
        <v>30800</v>
      </c>
      <c r="H15" s="413">
        <f t="shared" si="2"/>
        <v>6000</v>
      </c>
      <c r="I15" s="414"/>
    </row>
    <row r="16" spans="1:9" s="330" customFormat="1" ht="12.75" customHeight="1" x14ac:dyDescent="0.25">
      <c r="A16" s="408" t="s">
        <v>1756</v>
      </c>
      <c r="B16" s="409">
        <v>46121</v>
      </c>
      <c r="C16" s="410" t="s">
        <v>1069</v>
      </c>
      <c r="D16" s="412"/>
      <c r="E16" s="412">
        <f t="shared" si="0"/>
        <v>36800</v>
      </c>
      <c r="F16" s="445">
        <v>1000</v>
      </c>
      <c r="G16" s="413">
        <f t="shared" si="1"/>
        <v>31800</v>
      </c>
      <c r="H16" s="413">
        <f t="shared" si="2"/>
        <v>5000</v>
      </c>
      <c r="I16" s="414"/>
    </row>
    <row r="17" spans="1:9" s="330" customFormat="1" ht="12.75" customHeight="1" x14ac:dyDescent="0.25">
      <c r="A17" s="408"/>
      <c r="B17" s="409"/>
      <c r="C17" s="410"/>
      <c r="D17" s="412"/>
      <c r="E17" s="412">
        <f t="shared" si="0"/>
        <v>36800</v>
      </c>
      <c r="F17" s="422"/>
      <c r="G17" s="413">
        <f t="shared" si="1"/>
        <v>31800</v>
      </c>
      <c r="H17" s="413">
        <f t="shared" si="2"/>
        <v>5000</v>
      </c>
      <c r="I17" s="414"/>
    </row>
    <row r="18" spans="1:9" s="330" customFormat="1" ht="12.75" customHeight="1" x14ac:dyDescent="0.25">
      <c r="A18" s="408"/>
      <c r="B18" s="409"/>
      <c r="C18" s="410"/>
      <c r="D18" s="412"/>
      <c r="E18" s="412">
        <f t="shared" si="0"/>
        <v>36800</v>
      </c>
      <c r="F18" s="422"/>
      <c r="G18" s="413">
        <f t="shared" si="1"/>
        <v>31800</v>
      </c>
      <c r="H18" s="413">
        <f t="shared" si="2"/>
        <v>5000</v>
      </c>
      <c r="I18" s="414"/>
    </row>
    <row r="19" spans="1:9" s="330" customFormat="1" ht="12.75" customHeight="1" x14ac:dyDescent="0.25">
      <c r="A19" s="408"/>
      <c r="B19" s="409"/>
      <c r="C19" s="410"/>
      <c r="D19" s="412"/>
      <c r="E19" s="412">
        <f t="shared" si="0"/>
        <v>36800</v>
      </c>
      <c r="F19" s="413"/>
      <c r="G19" s="413">
        <f t="shared" si="1"/>
        <v>31800</v>
      </c>
      <c r="H19" s="413">
        <f t="shared" si="2"/>
        <v>5000</v>
      </c>
      <c r="I19" s="414"/>
    </row>
    <row r="20" spans="1:9" s="330" customFormat="1" ht="12.75" customHeight="1" x14ac:dyDescent="0.25">
      <c r="A20" s="408"/>
      <c r="B20" s="409"/>
      <c r="C20" s="410"/>
      <c r="D20" s="412"/>
      <c r="E20" s="412">
        <f t="shared" si="0"/>
        <v>36800</v>
      </c>
      <c r="F20" s="413"/>
      <c r="G20" s="413">
        <f t="shared" si="1"/>
        <v>31800</v>
      </c>
      <c r="H20" s="413">
        <f t="shared" si="2"/>
        <v>5000</v>
      </c>
      <c r="I20" s="414"/>
    </row>
    <row r="21" spans="1:9" s="330" customFormat="1" ht="12.75" customHeight="1" x14ac:dyDescent="0.25">
      <c r="A21" s="408"/>
      <c r="B21" s="409"/>
      <c r="C21" s="423"/>
      <c r="D21" s="412"/>
      <c r="E21" s="412">
        <f t="shared" si="0"/>
        <v>36800</v>
      </c>
      <c r="F21" s="413"/>
      <c r="G21" s="413">
        <f t="shared" si="1"/>
        <v>31800</v>
      </c>
      <c r="H21" s="413">
        <f t="shared" si="2"/>
        <v>5000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36800</v>
      </c>
      <c r="E23" s="426"/>
      <c r="F23" s="426">
        <f>SUM(F9:F22)</f>
        <v>31800</v>
      </c>
      <c r="G23" s="426"/>
      <c r="H23" s="426">
        <f>D23-F23</f>
        <v>5000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255</v>
      </c>
      <c r="D26" s="413">
        <v>12400</v>
      </c>
      <c r="E26" s="413"/>
      <c r="F26" s="413">
        <f>12400</f>
        <v>12400</v>
      </c>
      <c r="G26" s="413"/>
      <c r="H26" s="413">
        <f>D26-F26</f>
        <v>0</v>
      </c>
      <c r="I26" s="414"/>
    </row>
    <row r="27" spans="1:9" s="330" customFormat="1" ht="12.75" customHeight="1" x14ac:dyDescent="0.25">
      <c r="A27" s="408"/>
      <c r="B27" s="410"/>
      <c r="C27" s="425" t="s">
        <v>175</v>
      </c>
      <c r="D27" s="413">
        <v>13200</v>
      </c>
      <c r="E27" s="413"/>
      <c r="F27" s="413">
        <f>9900+3300</f>
        <v>13200</v>
      </c>
      <c r="G27" s="413"/>
      <c r="H27" s="413">
        <f>D27-F27</f>
        <v>0</v>
      </c>
      <c r="I27" s="414"/>
    </row>
    <row r="28" spans="1:9" s="330" customFormat="1" ht="12.75" customHeight="1" x14ac:dyDescent="0.25">
      <c r="A28" s="408"/>
      <c r="B28" s="410"/>
      <c r="C28" s="425" t="s">
        <v>256</v>
      </c>
      <c r="D28" s="413">
        <v>3200</v>
      </c>
      <c r="E28" s="413"/>
      <c r="F28" s="413">
        <v>3200</v>
      </c>
      <c r="G28" s="413"/>
      <c r="H28" s="413">
        <f>D28-F28</f>
        <v>0</v>
      </c>
      <c r="I28" s="414"/>
    </row>
    <row r="29" spans="1:9" s="330" customFormat="1" ht="12.75" customHeight="1" x14ac:dyDescent="0.25">
      <c r="A29" s="408"/>
      <c r="B29" s="410"/>
      <c r="C29" s="425" t="s">
        <v>150</v>
      </c>
      <c r="D29" s="413">
        <v>8000</v>
      </c>
      <c r="E29" s="413"/>
      <c r="F29" s="413">
        <f>2000+1000</f>
        <v>3000</v>
      </c>
      <c r="G29" s="413"/>
      <c r="H29" s="413">
        <f>D29-F29</f>
        <v>5000</v>
      </c>
      <c r="I29" s="414"/>
    </row>
    <row r="30" spans="1:9" s="330" customFormat="1" ht="12.75" customHeight="1" thickBot="1" x14ac:dyDescent="0.3">
      <c r="A30" s="408"/>
      <c r="B30" s="410"/>
      <c r="C30" s="424" t="s">
        <v>555</v>
      </c>
      <c r="D30" s="426">
        <f>SUM(D26:D29)</f>
        <v>36800</v>
      </c>
      <c r="E30" s="427"/>
      <c r="F30" s="426">
        <f>SUM(F26:F29)</f>
        <v>31800</v>
      </c>
      <c r="G30" s="427"/>
      <c r="H30" s="426">
        <f>SUM(H26:H29)</f>
        <v>5000</v>
      </c>
      <c r="I30" s="414"/>
    </row>
    <row r="31" spans="1:9" s="330" customFormat="1" ht="12.75" customHeight="1" thickTop="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D905-AC5A-42CF-88E8-794C8DB374C5}">
  <sheetPr codeName="Sheet141">
    <pageSetUpPr fitToPage="1"/>
  </sheetPr>
  <dimension ref="A1:I9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13.7109375" customWidth="1"/>
  </cols>
  <sheetData>
    <row r="1" spans="1:9" ht="15.75" x14ac:dyDescent="0.25">
      <c r="A1" s="78" t="str">
        <f>'RECAP #9466.00'!B1</f>
        <v>DOC 3JD CBC New Backup Generator</v>
      </c>
      <c r="B1" s="79"/>
      <c r="C1" s="6"/>
      <c r="D1" s="6"/>
      <c r="E1" s="6"/>
      <c r="F1" s="124"/>
      <c r="G1" s="124"/>
      <c r="H1" s="125"/>
      <c r="I1" s="125"/>
    </row>
    <row r="2" spans="1:9" ht="15.75" x14ac:dyDescent="0.25">
      <c r="A2" s="81" t="str">
        <f>'RECAP #9466.00'!B2</f>
        <v>Project # 9466.00</v>
      </c>
      <c r="B2" s="80"/>
      <c r="C2" s="6"/>
      <c r="D2" s="6"/>
      <c r="E2" s="6"/>
      <c r="F2" s="124"/>
      <c r="G2" s="124"/>
      <c r="H2" s="125"/>
      <c r="I2" s="125"/>
    </row>
    <row r="3" spans="1:9" ht="15.75" x14ac:dyDescent="0.25">
      <c r="A3" s="82" t="str">
        <f>'RECAP #9466.00'!B3</f>
        <v>Program code 946600</v>
      </c>
      <c r="B3" s="80"/>
      <c r="C3" s="6"/>
      <c r="D3" s="83" t="str">
        <f>'RECAP #9466.00'!E3</f>
        <v>Major Program 4E01</v>
      </c>
      <c r="E3" s="6"/>
      <c r="F3" s="124"/>
      <c r="G3" s="124"/>
      <c r="H3" s="125"/>
      <c r="I3" s="125"/>
    </row>
    <row r="4" spans="1:9" ht="15.75" x14ac:dyDescent="0.25">
      <c r="A4" s="109" t="s">
        <v>1149</v>
      </c>
      <c r="B4" s="126"/>
      <c r="C4" s="127"/>
      <c r="D4" s="128" t="s">
        <v>1150</v>
      </c>
      <c r="E4" s="124"/>
      <c r="F4" s="124"/>
      <c r="G4" s="124"/>
      <c r="H4" s="125"/>
      <c r="I4" s="125"/>
    </row>
    <row r="5" spans="1:9" ht="15.75" x14ac:dyDescent="0.25">
      <c r="A5" s="129" t="s">
        <v>109</v>
      </c>
      <c r="B5" s="130"/>
      <c r="C5" s="131"/>
      <c r="D5" s="132" t="s">
        <v>1151</v>
      </c>
      <c r="E5" s="133"/>
      <c r="F5" s="134"/>
      <c r="G5" s="134"/>
      <c r="H5" s="130"/>
      <c r="I5" s="125"/>
    </row>
    <row r="6" spans="1:9" ht="15.75" x14ac:dyDescent="0.25">
      <c r="A6" s="86" t="str">
        <f>'RECAP #9466.00'!B6</f>
        <v>Project Manager - Jennie E.</v>
      </c>
      <c r="B6" s="86"/>
      <c r="C6" s="135"/>
      <c r="D6" s="136" t="s">
        <v>112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1314</v>
      </c>
      <c r="B9" s="409">
        <v>45916</v>
      </c>
      <c r="C9" s="410" t="s">
        <v>107</v>
      </c>
      <c r="D9" s="411">
        <v>213000</v>
      </c>
      <c r="E9" s="412">
        <f>D9</f>
        <v>213000</v>
      </c>
      <c r="F9" s="413"/>
      <c r="G9" s="413"/>
      <c r="H9" s="413">
        <f>E9</f>
        <v>213000</v>
      </c>
      <c r="I9" s="414"/>
    </row>
    <row r="10" spans="1:9" s="330" customFormat="1" ht="12.75" customHeight="1" x14ac:dyDescent="0.25">
      <c r="A10" s="408" t="s">
        <v>1709</v>
      </c>
      <c r="B10" s="240">
        <v>46104</v>
      </c>
      <c r="C10" s="410" t="s">
        <v>563</v>
      </c>
      <c r="D10" s="412"/>
      <c r="E10" s="412">
        <f t="shared" ref="E10:E21" si="0">E9+D10</f>
        <v>213000</v>
      </c>
      <c r="F10" s="445">
        <v>3038.04</v>
      </c>
      <c r="G10" s="413">
        <f t="shared" ref="G10:G21" si="1">G9+F10</f>
        <v>3038.04</v>
      </c>
      <c r="H10" s="413">
        <f t="shared" ref="H10:H21" si="2">H9-F10+D10</f>
        <v>209961.96</v>
      </c>
      <c r="I10" s="491">
        <f>93.96</f>
        <v>93.96</v>
      </c>
    </row>
    <row r="11" spans="1:9" s="330" customFormat="1" ht="12.75" customHeight="1" x14ac:dyDescent="0.25">
      <c r="A11" s="408" t="s">
        <v>1719</v>
      </c>
      <c r="B11" s="409">
        <v>46107</v>
      </c>
      <c r="C11" s="410" t="s">
        <v>1720</v>
      </c>
      <c r="D11" s="412"/>
      <c r="E11" s="412">
        <f t="shared" si="0"/>
        <v>213000</v>
      </c>
      <c r="F11" s="445">
        <v>388</v>
      </c>
      <c r="G11" s="413">
        <f t="shared" si="1"/>
        <v>3426.04</v>
      </c>
      <c r="H11" s="413">
        <f t="shared" si="2"/>
        <v>209573.96</v>
      </c>
      <c r="I11" s="448">
        <f>I10+12</f>
        <v>105.96</v>
      </c>
    </row>
    <row r="12" spans="1:9" s="330" customFormat="1" ht="12.75" customHeight="1" x14ac:dyDescent="0.25">
      <c r="A12" s="408"/>
      <c r="B12" s="409"/>
      <c r="C12" s="410"/>
      <c r="D12" s="494"/>
      <c r="E12" s="412">
        <f t="shared" si="0"/>
        <v>213000</v>
      </c>
      <c r="F12" s="422"/>
      <c r="G12" s="413">
        <f t="shared" si="1"/>
        <v>3426.04</v>
      </c>
      <c r="H12" s="413">
        <f t="shared" si="2"/>
        <v>209573.96</v>
      </c>
      <c r="I12" s="492"/>
    </row>
    <row r="13" spans="1:9" s="330" customFormat="1" ht="12.75" customHeight="1" x14ac:dyDescent="0.25">
      <c r="A13" s="408"/>
      <c r="B13" s="409"/>
      <c r="C13" s="522"/>
      <c r="D13" s="412"/>
      <c r="E13" s="412">
        <f t="shared" si="0"/>
        <v>213000</v>
      </c>
      <c r="F13" s="445"/>
      <c r="G13" s="413">
        <f t="shared" si="1"/>
        <v>3426.04</v>
      </c>
      <c r="H13" s="413">
        <f t="shared" si="2"/>
        <v>209573.96</v>
      </c>
      <c r="I13" s="414"/>
    </row>
    <row r="14" spans="1:9" s="330" customFormat="1" ht="12.75" customHeight="1" x14ac:dyDescent="0.25">
      <c r="A14" s="408"/>
      <c r="B14" s="409"/>
      <c r="C14" s="410"/>
      <c r="D14" s="412"/>
      <c r="E14" s="412">
        <f t="shared" si="0"/>
        <v>213000</v>
      </c>
      <c r="F14" s="445"/>
      <c r="G14" s="413">
        <f t="shared" si="1"/>
        <v>3426.04</v>
      </c>
      <c r="H14" s="413">
        <f t="shared" si="2"/>
        <v>209573.96</v>
      </c>
      <c r="I14" s="414"/>
    </row>
    <row r="15" spans="1:9" s="330" customFormat="1" ht="12.75" customHeight="1" x14ac:dyDescent="0.25">
      <c r="A15" s="408"/>
      <c r="B15" s="409"/>
      <c r="C15" s="410"/>
      <c r="D15" s="412"/>
      <c r="E15" s="412">
        <f t="shared" si="0"/>
        <v>213000</v>
      </c>
      <c r="F15" s="422"/>
      <c r="G15" s="413">
        <f t="shared" si="1"/>
        <v>3426.04</v>
      </c>
      <c r="H15" s="413">
        <f t="shared" si="2"/>
        <v>209573.96</v>
      </c>
      <c r="I15" s="414"/>
    </row>
    <row r="16" spans="1:9" s="330" customFormat="1" ht="12.75" customHeight="1" x14ac:dyDescent="0.25">
      <c r="A16" s="408"/>
      <c r="B16" s="409"/>
      <c r="C16" s="410"/>
      <c r="D16" s="412"/>
      <c r="E16" s="412">
        <f t="shared" si="0"/>
        <v>213000</v>
      </c>
      <c r="F16" s="422"/>
      <c r="G16" s="413">
        <f t="shared" si="1"/>
        <v>3426.04</v>
      </c>
      <c r="H16" s="413">
        <f t="shared" si="2"/>
        <v>209573.96</v>
      </c>
      <c r="I16" s="414"/>
    </row>
    <row r="17" spans="1:9" s="330" customFormat="1" ht="12.75" customHeight="1" x14ac:dyDescent="0.25">
      <c r="A17" s="408"/>
      <c r="B17" s="409"/>
      <c r="C17" s="410"/>
      <c r="D17" s="412"/>
      <c r="E17" s="412">
        <f t="shared" si="0"/>
        <v>213000</v>
      </c>
      <c r="F17" s="422"/>
      <c r="G17" s="413">
        <f t="shared" si="1"/>
        <v>3426.04</v>
      </c>
      <c r="H17" s="413">
        <f t="shared" si="2"/>
        <v>209573.96</v>
      </c>
      <c r="I17" s="414"/>
    </row>
    <row r="18" spans="1:9" s="330" customFormat="1" ht="12.75" customHeight="1" x14ac:dyDescent="0.25">
      <c r="A18" s="408"/>
      <c r="B18" s="409"/>
      <c r="C18" s="410"/>
      <c r="D18" s="412"/>
      <c r="E18" s="412">
        <f t="shared" si="0"/>
        <v>213000</v>
      </c>
      <c r="F18" s="422"/>
      <c r="G18" s="413">
        <f t="shared" si="1"/>
        <v>3426.04</v>
      </c>
      <c r="H18" s="413">
        <f t="shared" si="2"/>
        <v>209573.96</v>
      </c>
      <c r="I18" s="414"/>
    </row>
    <row r="19" spans="1:9" s="330" customFormat="1" ht="12.75" customHeight="1" x14ac:dyDescent="0.25">
      <c r="A19" s="408"/>
      <c r="B19" s="409"/>
      <c r="C19" s="410"/>
      <c r="D19" s="412"/>
      <c r="E19" s="412">
        <f t="shared" si="0"/>
        <v>213000</v>
      </c>
      <c r="F19" s="413"/>
      <c r="G19" s="413">
        <f t="shared" si="1"/>
        <v>3426.04</v>
      </c>
      <c r="H19" s="413">
        <f t="shared" si="2"/>
        <v>209573.96</v>
      </c>
      <c r="I19" s="414"/>
    </row>
    <row r="20" spans="1:9" s="330" customFormat="1" ht="12.75" customHeight="1" x14ac:dyDescent="0.25">
      <c r="A20" s="408"/>
      <c r="B20" s="409"/>
      <c r="C20" s="410"/>
      <c r="D20" s="412"/>
      <c r="E20" s="412">
        <f t="shared" si="0"/>
        <v>213000</v>
      </c>
      <c r="F20" s="413"/>
      <c r="G20" s="413">
        <f t="shared" si="1"/>
        <v>3426.04</v>
      </c>
      <c r="H20" s="413">
        <f t="shared" si="2"/>
        <v>209573.96</v>
      </c>
      <c r="I20" s="414"/>
    </row>
    <row r="21" spans="1:9" s="330" customFormat="1" ht="12.75" customHeight="1" x14ac:dyDescent="0.25">
      <c r="A21" s="408"/>
      <c r="B21" s="409"/>
      <c r="C21" s="423"/>
      <c r="D21" s="412"/>
      <c r="E21" s="412">
        <f t="shared" si="0"/>
        <v>213000</v>
      </c>
      <c r="F21" s="413"/>
      <c r="G21" s="413">
        <f t="shared" si="1"/>
        <v>3426.04</v>
      </c>
      <c r="H21" s="413">
        <f t="shared" si="2"/>
        <v>209573.96</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213000</v>
      </c>
      <c r="E23" s="426"/>
      <c r="F23" s="426">
        <f>SUM(F9:F22)</f>
        <v>3426.04</v>
      </c>
      <c r="G23" s="426"/>
      <c r="H23" s="426">
        <f>D23-F23</f>
        <v>209573.96</v>
      </c>
      <c r="I23" s="414"/>
    </row>
    <row r="24" spans="1:9" s="330" customFormat="1" ht="12.75" customHeight="1" thickTop="1" x14ac:dyDescent="0.25"/>
    <row r="25" spans="1:9" s="330" customFormat="1" ht="12.75" customHeight="1" x14ac:dyDescent="0.25"/>
    <row r="26" spans="1:9" s="330" customFormat="1" ht="12.75" customHeight="1" x14ac:dyDescent="0.25">
      <c r="A26" s="361" t="s">
        <v>1710</v>
      </c>
    </row>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9DC2-2F91-4246-9B16-410F16E3BD07}">
  <sheetPr codeName="Sheet142">
    <pageSetUpPr fitToPage="1"/>
  </sheetPr>
  <dimension ref="A1:I131"/>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78" t="str">
        <f>'RECAP #9466.00'!B1</f>
        <v>DOC 3JD CBC New Backup Generator</v>
      </c>
      <c r="B1" s="79"/>
      <c r="C1" s="6"/>
      <c r="D1" s="6"/>
      <c r="E1" s="6"/>
      <c r="F1" s="124"/>
      <c r="G1" s="124"/>
      <c r="H1" s="125"/>
      <c r="I1" s="125"/>
    </row>
    <row r="2" spans="1:9" ht="15.75" x14ac:dyDescent="0.25">
      <c r="A2" s="81" t="str">
        <f>'RECAP #9466.00'!B2</f>
        <v>Project # 9466.00</v>
      </c>
      <c r="B2" s="80"/>
      <c r="C2" s="6"/>
      <c r="D2" s="6"/>
      <c r="E2" s="6"/>
      <c r="F2" s="124"/>
      <c r="G2" s="124"/>
      <c r="H2" s="125"/>
      <c r="I2" s="125"/>
    </row>
    <row r="3" spans="1:9" ht="15.75" x14ac:dyDescent="0.25">
      <c r="A3" s="82" t="str">
        <f>'RECAP #9466.00'!B3</f>
        <v>Program code 946600</v>
      </c>
      <c r="B3" s="80"/>
      <c r="C3" s="6"/>
      <c r="D3" s="83" t="str">
        <f>'RECAP #9466.00'!E3</f>
        <v>Major Program 4E01</v>
      </c>
      <c r="E3" s="6"/>
      <c r="F3" s="124"/>
      <c r="G3" s="124"/>
      <c r="H3" s="125"/>
      <c r="I3" s="125"/>
    </row>
    <row r="4" spans="1:9" ht="15.75" x14ac:dyDescent="0.25">
      <c r="A4" s="109" t="s">
        <v>1266</v>
      </c>
      <c r="B4" s="126"/>
      <c r="C4" s="127"/>
      <c r="D4" s="128" t="s">
        <v>494</v>
      </c>
      <c r="E4" s="124"/>
      <c r="F4" s="124"/>
      <c r="G4" s="124"/>
      <c r="H4" s="125"/>
      <c r="I4" s="125"/>
    </row>
    <row r="5" spans="1:9" ht="15.75" x14ac:dyDescent="0.25">
      <c r="A5" s="129" t="s">
        <v>109</v>
      </c>
      <c r="B5" s="130"/>
      <c r="C5" s="131"/>
      <c r="D5" s="132" t="s">
        <v>594</v>
      </c>
      <c r="E5" s="133"/>
      <c r="F5" s="134"/>
      <c r="G5" s="134"/>
      <c r="H5" s="130"/>
      <c r="I5" s="125"/>
    </row>
    <row r="6" spans="1:9" ht="15.75" x14ac:dyDescent="0.25">
      <c r="A6" s="86" t="str">
        <f>'RECAP #9466.00'!B6</f>
        <v>Project Manager - Jennie E.</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1265</v>
      </c>
      <c r="B9" s="409">
        <v>45946</v>
      </c>
      <c r="C9" s="410" t="s">
        <v>107</v>
      </c>
      <c r="D9" s="411">
        <v>48027.64</v>
      </c>
      <c r="E9" s="412">
        <f>D9</f>
        <v>48027.64</v>
      </c>
      <c r="F9" s="413"/>
      <c r="G9" s="413"/>
      <c r="H9" s="413">
        <f>E9</f>
        <v>48027.64</v>
      </c>
      <c r="I9" s="414"/>
    </row>
    <row r="10" spans="1:9" s="330" customFormat="1" ht="12.75" customHeight="1" x14ac:dyDescent="0.25">
      <c r="A10" s="408" t="s">
        <v>1298</v>
      </c>
      <c r="B10" s="240">
        <v>45965</v>
      </c>
      <c r="C10" s="410" t="s">
        <v>1299</v>
      </c>
      <c r="D10" s="412"/>
      <c r="E10" s="412">
        <f t="shared" ref="E10:E21" si="0">E9+D10</f>
        <v>48027.64</v>
      </c>
      <c r="F10" s="445">
        <v>2324.3200000000002</v>
      </c>
      <c r="G10" s="413">
        <f t="shared" ref="G10:G21" si="1">G9+F10</f>
        <v>2324.3200000000002</v>
      </c>
      <c r="H10" s="413">
        <f t="shared" ref="H10:H21" si="2">H9-F10+D10</f>
        <v>45703.32</v>
      </c>
      <c r="I10" s="414"/>
    </row>
    <row r="11" spans="1:9" s="330" customFormat="1" ht="12.75" customHeight="1" x14ac:dyDescent="0.25">
      <c r="A11" s="408" t="s">
        <v>1393</v>
      </c>
      <c r="B11" s="409">
        <v>46000</v>
      </c>
      <c r="C11" s="410" t="s">
        <v>1394</v>
      </c>
      <c r="D11" s="412"/>
      <c r="E11" s="412">
        <f t="shared" si="0"/>
        <v>48027.64</v>
      </c>
      <c r="F11" s="445">
        <v>596.66999999999996</v>
      </c>
      <c r="G11" s="413">
        <f t="shared" si="1"/>
        <v>2920.9900000000002</v>
      </c>
      <c r="H11" s="413">
        <f t="shared" si="2"/>
        <v>45106.65</v>
      </c>
      <c r="I11" s="448"/>
    </row>
    <row r="12" spans="1:9" s="330" customFormat="1" ht="12.75" customHeight="1" x14ac:dyDescent="0.25">
      <c r="A12" s="408" t="s">
        <v>1467</v>
      </c>
      <c r="B12" s="409">
        <v>46031</v>
      </c>
      <c r="C12" s="410" t="s">
        <v>1468</v>
      </c>
      <c r="D12" s="494"/>
      <c r="E12" s="412">
        <f t="shared" si="0"/>
        <v>48027.64</v>
      </c>
      <c r="F12" s="445">
        <v>2403.44</v>
      </c>
      <c r="G12" s="413">
        <f t="shared" si="1"/>
        <v>5324.43</v>
      </c>
      <c r="H12" s="413">
        <f t="shared" si="2"/>
        <v>42703.21</v>
      </c>
      <c r="I12" s="492"/>
    </row>
    <row r="13" spans="1:9" s="330" customFormat="1" ht="12.75" customHeight="1" x14ac:dyDescent="0.25">
      <c r="A13" s="408" t="s">
        <v>1543</v>
      </c>
      <c r="B13" s="409">
        <v>46059</v>
      </c>
      <c r="C13" s="410" t="s">
        <v>1544</v>
      </c>
      <c r="D13" s="412"/>
      <c r="E13" s="412">
        <f t="shared" si="0"/>
        <v>48027.64</v>
      </c>
      <c r="F13" s="445">
        <v>1640.12</v>
      </c>
      <c r="G13" s="413">
        <f t="shared" si="1"/>
        <v>6964.55</v>
      </c>
      <c r="H13" s="413">
        <f t="shared" si="2"/>
        <v>41063.089999999997</v>
      </c>
      <c r="I13" s="414"/>
    </row>
    <row r="14" spans="1:9" s="330" customFormat="1" ht="12.75" customHeight="1" x14ac:dyDescent="0.25">
      <c r="A14" s="408" t="s">
        <v>1700</v>
      </c>
      <c r="B14" s="409">
        <v>46099</v>
      </c>
      <c r="C14" s="410" t="s">
        <v>1701</v>
      </c>
      <c r="D14" s="412"/>
      <c r="E14" s="412">
        <f t="shared" si="0"/>
        <v>48027.64</v>
      </c>
      <c r="F14" s="445">
        <v>3274.86</v>
      </c>
      <c r="G14" s="413">
        <f t="shared" si="1"/>
        <v>10239.41</v>
      </c>
      <c r="H14" s="413">
        <f t="shared" si="2"/>
        <v>37788.229999999996</v>
      </c>
      <c r="I14" s="414"/>
    </row>
    <row r="15" spans="1:9" s="330" customFormat="1" ht="12.75" customHeight="1" x14ac:dyDescent="0.25">
      <c r="A15" s="408" t="s">
        <v>1781</v>
      </c>
      <c r="B15" s="409">
        <v>46132</v>
      </c>
      <c r="C15" s="410" t="s">
        <v>1782</v>
      </c>
      <c r="D15" s="412"/>
      <c r="E15" s="412">
        <f t="shared" si="0"/>
        <v>48027.64</v>
      </c>
      <c r="F15" s="445">
        <v>2451.38</v>
      </c>
      <c r="G15" s="413">
        <f t="shared" si="1"/>
        <v>12690.79</v>
      </c>
      <c r="H15" s="413">
        <f t="shared" si="2"/>
        <v>35336.85</v>
      </c>
      <c r="I15" s="414"/>
    </row>
    <row r="16" spans="1:9" s="330" customFormat="1" ht="12.75" customHeight="1" x14ac:dyDescent="0.25">
      <c r="A16" s="408"/>
      <c r="B16" s="409"/>
      <c r="C16" s="410"/>
      <c r="D16" s="412"/>
      <c r="E16" s="412">
        <f t="shared" si="0"/>
        <v>48027.64</v>
      </c>
      <c r="F16" s="422"/>
      <c r="G16" s="413">
        <f t="shared" si="1"/>
        <v>12690.79</v>
      </c>
      <c r="H16" s="413">
        <f t="shared" si="2"/>
        <v>35336.85</v>
      </c>
      <c r="I16" s="414"/>
    </row>
    <row r="17" spans="1:9" s="330" customFormat="1" ht="12.75" customHeight="1" x14ac:dyDescent="0.25">
      <c r="A17" s="408"/>
      <c r="B17" s="409"/>
      <c r="C17" s="410"/>
      <c r="D17" s="412"/>
      <c r="E17" s="412">
        <f t="shared" si="0"/>
        <v>48027.64</v>
      </c>
      <c r="F17" s="422"/>
      <c r="G17" s="413">
        <f t="shared" si="1"/>
        <v>12690.79</v>
      </c>
      <c r="H17" s="413">
        <f t="shared" si="2"/>
        <v>35336.85</v>
      </c>
      <c r="I17" s="414"/>
    </row>
    <row r="18" spans="1:9" s="330" customFormat="1" ht="12.75" customHeight="1" x14ac:dyDescent="0.25">
      <c r="A18" s="408"/>
      <c r="B18" s="409"/>
      <c r="C18" s="410"/>
      <c r="D18" s="412"/>
      <c r="E18" s="412">
        <f t="shared" si="0"/>
        <v>48027.64</v>
      </c>
      <c r="F18" s="422"/>
      <c r="G18" s="413">
        <f t="shared" si="1"/>
        <v>12690.79</v>
      </c>
      <c r="H18" s="413">
        <f t="shared" si="2"/>
        <v>35336.85</v>
      </c>
      <c r="I18" s="414"/>
    </row>
    <row r="19" spans="1:9" s="330" customFormat="1" ht="12.75" customHeight="1" x14ac:dyDescent="0.25">
      <c r="A19" s="408"/>
      <c r="B19" s="409"/>
      <c r="C19" s="410"/>
      <c r="D19" s="412"/>
      <c r="E19" s="412">
        <f t="shared" si="0"/>
        <v>48027.64</v>
      </c>
      <c r="F19" s="413"/>
      <c r="G19" s="413">
        <f t="shared" si="1"/>
        <v>12690.79</v>
      </c>
      <c r="H19" s="413">
        <f t="shared" si="2"/>
        <v>35336.85</v>
      </c>
      <c r="I19" s="414"/>
    </row>
    <row r="20" spans="1:9" s="330" customFormat="1" ht="12.75" customHeight="1" x14ac:dyDescent="0.25">
      <c r="A20" s="408"/>
      <c r="B20" s="409"/>
      <c r="C20" s="410"/>
      <c r="D20" s="412"/>
      <c r="E20" s="412">
        <f t="shared" si="0"/>
        <v>48027.64</v>
      </c>
      <c r="F20" s="413"/>
      <c r="G20" s="413">
        <f t="shared" si="1"/>
        <v>12690.79</v>
      </c>
      <c r="H20" s="413">
        <f t="shared" si="2"/>
        <v>35336.85</v>
      </c>
      <c r="I20" s="414"/>
    </row>
    <row r="21" spans="1:9" s="330" customFormat="1" ht="12.75" customHeight="1" x14ac:dyDescent="0.25">
      <c r="A21" s="408"/>
      <c r="B21" s="409"/>
      <c r="C21" s="423"/>
      <c r="D21" s="412"/>
      <c r="E21" s="412">
        <f t="shared" si="0"/>
        <v>48027.64</v>
      </c>
      <c r="F21" s="413"/>
      <c r="G21" s="413">
        <f t="shared" si="1"/>
        <v>12690.79</v>
      </c>
      <c r="H21" s="413">
        <f t="shared" si="2"/>
        <v>35336.85</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48027.64</v>
      </c>
      <c r="E23" s="426"/>
      <c r="F23" s="426">
        <f>SUM(F9:F22)</f>
        <v>12690.79</v>
      </c>
      <c r="G23" s="426"/>
      <c r="H23" s="426">
        <f>D23-F23</f>
        <v>35336.85</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192</v>
      </c>
      <c r="D26" s="413">
        <v>43644.639999999999</v>
      </c>
      <c r="E26" s="413"/>
      <c r="F26" s="413">
        <f>2240.61+596.67+2403.44+1640.12+3274.86+2451.38</f>
        <v>12607.080000000002</v>
      </c>
      <c r="G26" s="413"/>
      <c r="H26" s="413">
        <f>D26-F26</f>
        <v>31037.559999999998</v>
      </c>
      <c r="I26" s="414"/>
    </row>
    <row r="27" spans="1:9" s="330" customFormat="1" ht="12.75" customHeight="1" x14ac:dyDescent="0.25">
      <c r="A27" s="408"/>
      <c r="B27" s="410"/>
      <c r="C27" s="425" t="s">
        <v>118</v>
      </c>
      <c r="D27" s="413">
        <v>4383</v>
      </c>
      <c r="E27" s="413"/>
      <c r="F27" s="413">
        <f>83.71</f>
        <v>83.71</v>
      </c>
      <c r="G27" s="413"/>
      <c r="H27" s="413">
        <f>D27-F27</f>
        <v>4299.29</v>
      </c>
      <c r="I27" s="414"/>
    </row>
    <row r="28" spans="1:9" s="330" customFormat="1" ht="12.75" customHeight="1" thickBot="1" x14ac:dyDescent="0.3">
      <c r="A28" s="408"/>
      <c r="B28" s="410"/>
      <c r="C28" s="424" t="s">
        <v>555</v>
      </c>
      <c r="D28" s="426">
        <f>SUM(D26:D27)</f>
        <v>48027.64</v>
      </c>
      <c r="E28" s="413"/>
      <c r="F28" s="426">
        <f>SUM(F26:F27)</f>
        <v>12690.79</v>
      </c>
      <c r="G28" s="413"/>
      <c r="H28" s="426">
        <f>SUM(H26:H27)</f>
        <v>35336.85</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4"/>
      <c r="D30" s="427"/>
      <c r="E30" s="427"/>
      <c r="F30" s="427"/>
      <c r="G30" s="427"/>
      <c r="H30" s="427"/>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99" t="s">
        <v>1300</v>
      </c>
      <c r="B32" s="410"/>
      <c r="C32" s="425"/>
      <c r="D32" s="459"/>
      <c r="E32" s="408"/>
      <c r="F32" s="461"/>
      <c r="G32" s="461"/>
      <c r="H32" s="459"/>
      <c r="I32" s="414"/>
    </row>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43">
    <tabColor rgb="FF0070C0"/>
    <pageSetUpPr fitToPage="1"/>
  </sheetPr>
  <dimension ref="A1:G18"/>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464</v>
      </c>
      <c r="C1" s="109"/>
      <c r="D1" s="179"/>
      <c r="E1" s="179"/>
      <c r="F1" s="179"/>
      <c r="G1" s="179"/>
    </row>
    <row r="2" spans="1:7" ht="15.75" x14ac:dyDescent="0.25">
      <c r="A2" s="212"/>
      <c r="B2" s="126" t="s">
        <v>465</v>
      </c>
      <c r="C2" s="182"/>
      <c r="D2" s="179"/>
      <c r="E2" s="179"/>
      <c r="F2" s="179"/>
      <c r="G2" s="179"/>
    </row>
    <row r="3" spans="1:7" ht="15.75" x14ac:dyDescent="0.25">
      <c r="A3" s="212"/>
      <c r="B3" s="183" t="s">
        <v>466</v>
      </c>
      <c r="C3" s="182"/>
      <c r="D3" s="179"/>
      <c r="E3" s="184" t="s">
        <v>71</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467</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'#9467.00 Funds Rec''d'!H24</f>
        <v>15645.690000000002</v>
      </c>
      <c r="D8" s="258"/>
      <c r="E8" s="258"/>
      <c r="F8" s="258"/>
      <c r="G8" s="259"/>
    </row>
    <row r="9" spans="1:7" x14ac:dyDescent="0.25">
      <c r="A9" s="212"/>
      <c r="B9" s="182"/>
      <c r="C9" s="260"/>
      <c r="D9" s="261"/>
      <c r="E9" s="261"/>
      <c r="F9" s="261"/>
      <c r="G9" s="259"/>
    </row>
    <row r="10" spans="1:7" x14ac:dyDescent="0.25">
      <c r="A10" s="212"/>
      <c r="B10" s="182" t="s">
        <v>40</v>
      </c>
      <c r="C10" s="260"/>
      <c r="D10" s="258">
        <f>'#9467.00 Vendor A'!D23</f>
        <v>0</v>
      </c>
      <c r="E10" s="258">
        <f>'#9467.00 Vendor A'!F23</f>
        <v>0</v>
      </c>
      <c r="F10" s="258">
        <f>'#9467.00 Vendor A'!H23</f>
        <v>0</v>
      </c>
      <c r="G10" s="259"/>
    </row>
    <row r="11" spans="1:7" x14ac:dyDescent="0.25">
      <c r="A11" s="212" t="s">
        <v>170</v>
      </c>
      <c r="B11" s="182" t="s">
        <v>41</v>
      </c>
      <c r="C11" s="260"/>
      <c r="D11" s="258">
        <f>'#9467.00 PM TIME'!E26</f>
        <v>3345.69</v>
      </c>
      <c r="E11" s="258">
        <f>'#9467.00 PM TIME'!G26</f>
        <v>3345.6899999999996</v>
      </c>
      <c r="F11" s="258">
        <f>'#9467.00 PM TIME'!I26</f>
        <v>0</v>
      </c>
      <c r="G11" s="259"/>
    </row>
    <row r="12" spans="1:7" x14ac:dyDescent="0.25">
      <c r="A12" s="212" t="s">
        <v>170</v>
      </c>
      <c r="B12" s="182" t="s">
        <v>42</v>
      </c>
      <c r="C12" s="261"/>
      <c r="D12" s="262">
        <f>'#9467.00 Misc'!G22</f>
        <v>12300</v>
      </c>
      <c r="E12" s="262">
        <f>'#9467.00 Misc'!G22</f>
        <v>12300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43</v>
      </c>
      <c r="C14" s="265">
        <f>SUM(C8:C13)</f>
        <v>15645.690000000002</v>
      </c>
      <c r="D14" s="265">
        <f>SUM(D8:D13)</f>
        <v>15645.69</v>
      </c>
      <c r="E14" s="265">
        <f>SUM(E8:E13)</f>
        <v>15645.689999999999</v>
      </c>
      <c r="F14" s="265">
        <f>SUM(D14-E14)</f>
        <v>1.8189894035458565E-12</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837</v>
      </c>
      <c r="C17" s="182"/>
      <c r="D17" s="259"/>
      <c r="E17" s="259"/>
      <c r="F17" s="259"/>
      <c r="G17" s="259"/>
    </row>
    <row r="18" spans="1:7" ht="13.35" customHeight="1" x14ac:dyDescent="0.25">
      <c r="A18" s="212"/>
      <c r="B18" s="212" t="s">
        <v>838</v>
      </c>
      <c r="C18" s="182"/>
      <c r="D18" s="259"/>
      <c r="E18" s="259"/>
      <c r="F18" s="259"/>
      <c r="G18"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44">
    <tabColor rgb="FF0070C0"/>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27" customWidth="1"/>
    <col min="5" max="5" width="25.42578125" customWidth="1"/>
    <col min="6" max="6" width="10.42578125" bestFit="1" customWidth="1"/>
    <col min="7" max="8" width="12.42578125" bestFit="1" customWidth="1"/>
    <col min="9" max="11" width="9.140625" customWidth="1"/>
  </cols>
  <sheetData>
    <row r="1" spans="1:8" x14ac:dyDescent="0.25">
      <c r="A1" s="104" t="str">
        <f>'RECAP #9467.00'!B1</f>
        <v>HHS IMHI Soil Remediation</v>
      </c>
      <c r="B1" s="7"/>
      <c r="C1" s="2"/>
      <c r="D1" s="3"/>
      <c r="E1" s="3"/>
      <c r="F1" s="7"/>
      <c r="G1" s="7"/>
      <c r="H1" s="7"/>
    </row>
    <row r="2" spans="1:8" x14ac:dyDescent="0.25">
      <c r="A2" s="105" t="str">
        <f>'RECAP #9467.00'!B2</f>
        <v>Project # 9467.00</v>
      </c>
      <c r="B2" s="7"/>
      <c r="C2" s="106" t="s">
        <v>3</v>
      </c>
      <c r="D2" s="1"/>
      <c r="E2" s="1"/>
      <c r="F2" s="7"/>
      <c r="G2" s="7"/>
      <c r="H2" s="7"/>
    </row>
    <row r="3" spans="1:8" x14ac:dyDescent="0.25">
      <c r="A3" s="107" t="str">
        <f>'RECAP #9467.00'!B3</f>
        <v>Program code 946700</v>
      </c>
      <c r="B3" s="7"/>
      <c r="C3" s="106" t="s">
        <v>3</v>
      </c>
      <c r="D3" s="108" t="str">
        <f>'RECAP #9467.00'!E3</f>
        <v>Major Program 4B02</v>
      </c>
      <c r="E3" s="3"/>
      <c r="F3" s="7"/>
      <c r="G3" s="7"/>
      <c r="H3" s="7"/>
    </row>
    <row r="4" spans="1:8" ht="15.75" x14ac:dyDescent="0.25">
      <c r="A4" s="109" t="s">
        <v>44</v>
      </c>
      <c r="B4" s="110" t="s">
        <v>3</v>
      </c>
      <c r="C4" s="3"/>
      <c r="D4" s="3"/>
      <c r="E4" s="3"/>
      <c r="F4" s="7"/>
      <c r="G4" s="7"/>
      <c r="H4" s="7"/>
    </row>
    <row r="5" spans="1:8" x14ac:dyDescent="0.25">
      <c r="A5" s="100" t="s">
        <v>65</v>
      </c>
      <c r="B5" s="22"/>
      <c r="C5" s="111"/>
      <c r="D5" s="23"/>
      <c r="E5" s="7"/>
      <c r="F5" s="7"/>
      <c r="G5" s="7"/>
      <c r="H5" s="7"/>
    </row>
    <row r="6" spans="1:8" x14ac:dyDescent="0.25">
      <c r="A6" s="112" t="str">
        <f>'RECAP #9467.00'!B6</f>
        <v>Project Manager -  Jennie E</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ht="12.75" customHeight="1" x14ac:dyDescent="0.25">
      <c r="A9" s="12"/>
      <c r="B9" s="119"/>
      <c r="C9" s="14"/>
      <c r="D9" s="15" t="s">
        <v>73</v>
      </c>
      <c r="E9" s="15" t="s">
        <v>540</v>
      </c>
      <c r="F9" s="120">
        <v>45709</v>
      </c>
      <c r="G9" s="213">
        <v>275000</v>
      </c>
      <c r="H9" s="213">
        <v>275000</v>
      </c>
    </row>
    <row r="10" spans="1:8" ht="25.5" customHeight="1" x14ac:dyDescent="0.25">
      <c r="A10" s="12"/>
      <c r="B10" s="12"/>
      <c r="C10" s="13"/>
      <c r="D10" s="15" t="s">
        <v>840</v>
      </c>
      <c r="E10" s="12" t="s">
        <v>839</v>
      </c>
      <c r="F10" s="12">
        <v>45820</v>
      </c>
      <c r="G10" s="329">
        <v>-259354.31</v>
      </c>
      <c r="H10" s="329">
        <v>-259354.31</v>
      </c>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15645.690000000002</v>
      </c>
      <c r="H24" s="123">
        <f>SUM(H9:H23)</f>
        <v>15645.690000000002</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45">
    <tabColor indexed="3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#9467.00'!B1</f>
        <v>HHS IMHI Soil Remediation</v>
      </c>
      <c r="B1" s="79"/>
      <c r="C1" s="6"/>
      <c r="D1" s="6"/>
      <c r="E1" s="6"/>
      <c r="F1" s="124"/>
      <c r="G1" s="124"/>
      <c r="H1" s="125"/>
      <c r="I1" s="125"/>
    </row>
    <row r="2" spans="1:9" ht="15.75" x14ac:dyDescent="0.25">
      <c r="A2" s="81" t="str">
        <f>'RECAP #9467.00'!B2</f>
        <v>Project # 9467.00</v>
      </c>
      <c r="B2" s="80"/>
      <c r="C2" s="6"/>
      <c r="D2" s="6"/>
      <c r="E2" s="6"/>
      <c r="F2" s="124"/>
      <c r="G2" s="124"/>
      <c r="H2" s="125"/>
      <c r="I2" s="125"/>
    </row>
    <row r="3" spans="1:9" ht="15.75" x14ac:dyDescent="0.25">
      <c r="A3" s="82" t="str">
        <f>'RECAP #9467.00'!B3</f>
        <v>Program code 946700</v>
      </c>
      <c r="B3" s="80"/>
      <c r="C3" s="6"/>
      <c r="D3" s="83" t="str">
        <f>'RECAP #9467.00'!E3</f>
        <v>Major Program 4B02</v>
      </c>
      <c r="E3" s="6"/>
      <c r="F3" s="124"/>
      <c r="G3" s="124"/>
      <c r="H3" s="125"/>
      <c r="I3" s="125"/>
    </row>
    <row r="4" spans="1:9" ht="15.75" x14ac:dyDescent="0.25">
      <c r="A4" s="109" t="s">
        <v>13</v>
      </c>
      <c r="B4" s="126"/>
      <c r="C4" s="127"/>
      <c r="D4" s="128" t="s">
        <v>47</v>
      </c>
      <c r="E4" s="124"/>
      <c r="F4" s="124"/>
      <c r="G4" s="124"/>
      <c r="H4" s="125"/>
      <c r="I4" s="125"/>
    </row>
    <row r="5" spans="1:9" ht="15.75" x14ac:dyDescent="0.25">
      <c r="A5" s="129" t="s">
        <v>66</v>
      </c>
      <c r="B5" s="130"/>
      <c r="C5" s="131"/>
      <c r="D5" s="132"/>
      <c r="E5" s="133"/>
      <c r="F5" s="134"/>
      <c r="G5" s="134"/>
      <c r="H5" s="130"/>
      <c r="I5" s="125"/>
    </row>
    <row r="6" spans="1:9" ht="15.75" x14ac:dyDescent="0.25">
      <c r="A6" s="86" t="str">
        <f>'RECAP #9467.00'!B6</f>
        <v>Project Manager -  Jennie E</v>
      </c>
      <c r="B6" s="86"/>
      <c r="C6" s="135"/>
      <c r="D6" s="136" t="s">
        <v>48</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x14ac:dyDescent="0.25">
      <c r="A9" s="144"/>
      <c r="B9" s="145"/>
      <c r="C9" s="146"/>
      <c r="D9" s="147"/>
      <c r="E9" s="147">
        <f>D9</f>
        <v>0</v>
      </c>
      <c r="F9" s="148"/>
      <c r="G9" s="148"/>
      <c r="H9" s="148">
        <f>E9</f>
        <v>0</v>
      </c>
      <c r="I9" s="149"/>
    </row>
    <row r="10" spans="1:9" x14ac:dyDescent="0.25">
      <c r="A10" s="144"/>
      <c r="B10" s="17"/>
      <c r="C10" s="146"/>
      <c r="D10" s="147"/>
      <c r="E10" s="147">
        <f t="shared" ref="E10:E21" si="0">E9+D10</f>
        <v>0</v>
      </c>
      <c r="F10" s="150"/>
      <c r="G10" s="148">
        <f t="shared" ref="G10:G21" si="1">G9+F10</f>
        <v>0</v>
      </c>
      <c r="H10" s="148">
        <f t="shared" ref="H10:H21" si="2">H9-F10+D10</f>
        <v>0</v>
      </c>
      <c r="I10" s="149"/>
    </row>
    <row r="11" spans="1:9" x14ac:dyDescent="0.25">
      <c r="A11" s="144"/>
      <c r="B11" s="145"/>
      <c r="C11" s="146"/>
      <c r="D11" s="147"/>
      <c r="E11" s="147">
        <f t="shared" si="0"/>
        <v>0</v>
      </c>
      <c r="F11" s="150"/>
      <c r="G11" s="148">
        <f t="shared" si="1"/>
        <v>0</v>
      </c>
      <c r="H11" s="148">
        <f t="shared" si="2"/>
        <v>0</v>
      </c>
      <c r="I11" s="149"/>
    </row>
    <row r="12" spans="1:9" x14ac:dyDescent="0.25">
      <c r="A12" s="144"/>
      <c r="B12" s="145"/>
      <c r="C12" s="146"/>
      <c r="D12" s="147"/>
      <c r="E12" s="147">
        <f t="shared" si="0"/>
        <v>0</v>
      </c>
      <c r="F12" s="150"/>
      <c r="G12" s="148">
        <f t="shared" si="1"/>
        <v>0</v>
      </c>
      <c r="H12" s="148">
        <f t="shared" si="2"/>
        <v>0</v>
      </c>
      <c r="I12" s="149"/>
    </row>
    <row r="13" spans="1:9" x14ac:dyDescent="0.25">
      <c r="A13" s="144"/>
      <c r="B13" s="145"/>
      <c r="C13" s="146"/>
      <c r="D13" s="147"/>
      <c r="E13" s="147">
        <f t="shared" si="0"/>
        <v>0</v>
      </c>
      <c r="F13" s="150"/>
      <c r="G13" s="148">
        <f t="shared" si="1"/>
        <v>0</v>
      </c>
      <c r="H13" s="148">
        <f t="shared" si="2"/>
        <v>0</v>
      </c>
      <c r="I13" s="149"/>
    </row>
    <row r="14" spans="1:9" x14ac:dyDescent="0.25">
      <c r="A14" s="144"/>
      <c r="B14" s="145"/>
      <c r="C14" s="146"/>
      <c r="D14" s="147"/>
      <c r="E14" s="147">
        <f t="shared" si="0"/>
        <v>0</v>
      </c>
      <c r="F14" s="148"/>
      <c r="G14" s="148">
        <f t="shared" si="1"/>
        <v>0</v>
      </c>
      <c r="H14" s="148">
        <f t="shared" si="2"/>
        <v>0</v>
      </c>
      <c r="I14" s="149"/>
    </row>
    <row r="15" spans="1:9" x14ac:dyDescent="0.25">
      <c r="A15" s="144"/>
      <c r="B15" s="145"/>
      <c r="C15" s="146"/>
      <c r="D15" s="147"/>
      <c r="E15" s="147">
        <f t="shared" si="0"/>
        <v>0</v>
      </c>
      <c r="F15" s="150"/>
      <c r="G15" s="148">
        <f t="shared" si="1"/>
        <v>0</v>
      </c>
      <c r="H15" s="148">
        <f t="shared" si="2"/>
        <v>0</v>
      </c>
      <c r="I15" s="149"/>
    </row>
    <row r="16" spans="1:9" x14ac:dyDescent="0.25">
      <c r="A16" s="144"/>
      <c r="B16" s="145"/>
      <c r="C16" s="146"/>
      <c r="D16" s="147"/>
      <c r="E16" s="147">
        <f t="shared" si="0"/>
        <v>0</v>
      </c>
      <c r="F16" s="150"/>
      <c r="G16" s="148">
        <f t="shared" si="1"/>
        <v>0</v>
      </c>
      <c r="H16" s="148">
        <f t="shared" si="2"/>
        <v>0</v>
      </c>
      <c r="I16" s="149"/>
    </row>
    <row r="17" spans="1:9" x14ac:dyDescent="0.25">
      <c r="A17" s="144"/>
      <c r="B17" s="145"/>
      <c r="C17" s="146"/>
      <c r="D17" s="147"/>
      <c r="E17" s="147">
        <f t="shared" si="0"/>
        <v>0</v>
      </c>
      <c r="F17" s="150"/>
      <c r="G17" s="148">
        <f t="shared" si="1"/>
        <v>0</v>
      </c>
      <c r="H17" s="148">
        <f t="shared" si="2"/>
        <v>0</v>
      </c>
      <c r="I17" s="149"/>
    </row>
    <row r="18" spans="1:9" x14ac:dyDescent="0.25">
      <c r="A18" s="144"/>
      <c r="B18" s="145"/>
      <c r="C18" s="146"/>
      <c r="D18" s="147"/>
      <c r="E18" s="147">
        <f t="shared" si="0"/>
        <v>0</v>
      </c>
      <c r="F18" s="150"/>
      <c r="G18" s="148">
        <f t="shared" si="1"/>
        <v>0</v>
      </c>
      <c r="H18" s="148">
        <f t="shared" si="2"/>
        <v>0</v>
      </c>
      <c r="I18" s="149"/>
    </row>
    <row r="19" spans="1:9" x14ac:dyDescent="0.25">
      <c r="A19" s="144"/>
      <c r="B19" s="145"/>
      <c r="C19" s="146"/>
      <c r="D19" s="147"/>
      <c r="E19" s="147">
        <f t="shared" si="0"/>
        <v>0</v>
      </c>
      <c r="F19" s="148"/>
      <c r="G19" s="148">
        <f t="shared" si="1"/>
        <v>0</v>
      </c>
      <c r="H19" s="148">
        <f t="shared" si="2"/>
        <v>0</v>
      </c>
      <c r="I19" s="149"/>
    </row>
    <row r="20" spans="1:9" x14ac:dyDescent="0.25">
      <c r="A20" s="144"/>
      <c r="B20" s="145"/>
      <c r="C20" s="146"/>
      <c r="D20" s="147"/>
      <c r="E20" s="147">
        <f t="shared" si="0"/>
        <v>0</v>
      </c>
      <c r="F20" s="148"/>
      <c r="G20" s="148">
        <f t="shared" si="1"/>
        <v>0</v>
      </c>
      <c r="H20" s="148">
        <f t="shared" si="2"/>
        <v>0</v>
      </c>
      <c r="I20" s="149"/>
    </row>
    <row r="21" spans="1:9" x14ac:dyDescent="0.25">
      <c r="A21" s="144"/>
      <c r="B21" s="145"/>
      <c r="C21" s="151"/>
      <c r="D21" s="147"/>
      <c r="E21" s="147">
        <f t="shared" si="0"/>
        <v>0</v>
      </c>
      <c r="F21" s="148"/>
      <c r="G21" s="148">
        <f t="shared" si="1"/>
        <v>0</v>
      </c>
      <c r="H21" s="148">
        <f t="shared" si="2"/>
        <v>0</v>
      </c>
      <c r="I21" s="149"/>
    </row>
    <row r="22" spans="1:9" x14ac:dyDescent="0.25">
      <c r="A22" s="144"/>
      <c r="B22" s="146"/>
      <c r="C22" s="152"/>
      <c r="D22" s="148"/>
      <c r="E22" s="148"/>
      <c r="F22" s="148"/>
      <c r="G22" s="148"/>
      <c r="H22" s="148"/>
      <c r="I22" s="149"/>
    </row>
    <row r="23" spans="1:9" ht="15.75" thickBot="1" x14ac:dyDescent="0.3">
      <c r="A23" s="144"/>
      <c r="B23" s="153"/>
      <c r="C23" s="154" t="s">
        <v>54</v>
      </c>
      <c r="D23" s="123">
        <f>SUM(D9:D22)</f>
        <v>0</v>
      </c>
      <c r="E23" s="123"/>
      <c r="F23" s="123">
        <f>SUM(F9:F22)</f>
        <v>0</v>
      </c>
      <c r="G23" s="123"/>
      <c r="H23" s="123">
        <f>D23-F23</f>
        <v>0</v>
      </c>
      <c r="I23" s="149"/>
    </row>
    <row r="24" spans="1:9" ht="15" customHeight="1" thickTop="1" x14ac:dyDescent="0.25"/>
  </sheetData>
  <conditionalFormatting sqref="I9:I23">
    <cfRule type="cellIs" dxfId="9"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46">
    <tabColor rgb="FF0070C0"/>
    <pageSetUpPr fitToPage="1"/>
  </sheetPr>
  <dimension ref="A1:J27"/>
  <sheetViews>
    <sheetView tabSelected="1" topLeftCell="A7"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47.5703125" customWidth="1"/>
    <col min="5" max="5" width="21.7109375" customWidth="1"/>
    <col min="6" max="6" width="13.5703125" customWidth="1"/>
    <col min="7" max="7" width="12.42578125" customWidth="1"/>
    <col min="8" max="8" width="10.5703125" customWidth="1"/>
    <col min="9" max="9" width="11.140625" bestFit="1" customWidth="1"/>
  </cols>
  <sheetData>
    <row r="1" spans="1:10" ht="15.75" x14ac:dyDescent="0.25">
      <c r="A1" s="78" t="str">
        <f>'RECAP #9467.00'!B1</f>
        <v>HHS IMHI Soil Remediation</v>
      </c>
      <c r="B1" s="79"/>
      <c r="C1" s="79"/>
      <c r="D1" s="6"/>
      <c r="E1" s="6"/>
      <c r="F1" s="6"/>
      <c r="G1" s="124"/>
      <c r="H1" s="124"/>
      <c r="I1" s="125"/>
      <c r="J1" s="125"/>
    </row>
    <row r="2" spans="1:10" ht="15.75" x14ac:dyDescent="0.25">
      <c r="A2" s="81" t="str">
        <f>'RECAP #9467.00'!B2</f>
        <v>Project # 9467.00</v>
      </c>
      <c r="B2" s="80"/>
      <c r="C2" s="80"/>
      <c r="D2" s="6"/>
      <c r="E2" s="6"/>
      <c r="F2" s="6"/>
      <c r="G2" s="124"/>
      <c r="H2" s="124"/>
      <c r="I2" s="125"/>
      <c r="J2" s="125"/>
    </row>
    <row r="3" spans="1:10" ht="15.75" x14ac:dyDescent="0.25">
      <c r="A3" s="82" t="str">
        <f>'RECAP #9467.00'!B3</f>
        <v>Program code 946700</v>
      </c>
      <c r="B3" s="80"/>
      <c r="C3" s="80"/>
      <c r="D3" s="6"/>
      <c r="E3" s="83" t="str">
        <f>'RECAP #9467.00'!E3</f>
        <v>Major Program 4B02</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#9467.00'!B6</f>
        <v>Project Manager -  Jennie E</v>
      </c>
      <c r="B6" s="86"/>
      <c r="C6" s="86"/>
      <c r="D6" s="135"/>
      <c r="E6" s="132" t="s">
        <v>475</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x14ac:dyDescent="0.25">
      <c r="A9" s="162"/>
      <c r="B9" s="145"/>
      <c r="C9" s="145"/>
      <c r="D9" s="152" t="s">
        <v>92</v>
      </c>
      <c r="E9" s="163">
        <f>5000-1654.31</f>
        <v>3345.69</v>
      </c>
      <c r="F9" s="147">
        <f>E9</f>
        <v>3345.69</v>
      </c>
      <c r="G9" s="148"/>
      <c r="H9" s="148"/>
      <c r="I9" s="148">
        <f>F9</f>
        <v>3345.69</v>
      </c>
      <c r="J9" s="149"/>
    </row>
    <row r="10" spans="1:10" x14ac:dyDescent="0.25">
      <c r="A10" s="169" t="s">
        <v>506</v>
      </c>
      <c r="B10" s="220">
        <v>45699</v>
      </c>
      <c r="C10" s="221">
        <v>2507</v>
      </c>
      <c r="D10" s="222" t="s">
        <v>507</v>
      </c>
      <c r="E10" s="147"/>
      <c r="F10" s="147">
        <f t="shared" ref="F10:F24" si="0">F9+E10</f>
        <v>3345.69</v>
      </c>
      <c r="G10" s="165">
        <f>41.06+51.19</f>
        <v>92.25</v>
      </c>
      <c r="H10" s="148">
        <f t="shared" ref="H10:H24" si="1">H9+G10</f>
        <v>92.25</v>
      </c>
      <c r="I10" s="155">
        <f t="shared" ref="I10:I24" si="2">I9-G10+E10</f>
        <v>3253.44</v>
      </c>
      <c r="J10" s="149"/>
    </row>
    <row r="11" spans="1:10" x14ac:dyDescent="0.25">
      <c r="A11" s="169" t="s">
        <v>506</v>
      </c>
      <c r="B11" s="220">
        <v>45699</v>
      </c>
      <c r="C11" s="221">
        <v>9500</v>
      </c>
      <c r="D11" s="119" t="s">
        <v>508</v>
      </c>
      <c r="E11" s="147"/>
      <c r="F11" s="147">
        <f t="shared" si="0"/>
        <v>3345.69</v>
      </c>
      <c r="G11" s="165">
        <f>60.5+925.1</f>
        <v>985.6</v>
      </c>
      <c r="H11" s="148">
        <f t="shared" si="1"/>
        <v>1077.8499999999999</v>
      </c>
      <c r="I11" s="155">
        <f t="shared" si="2"/>
        <v>2267.84</v>
      </c>
      <c r="J11" s="149"/>
    </row>
    <row r="12" spans="1:10" x14ac:dyDescent="0.25">
      <c r="A12" s="119" t="s">
        <v>531</v>
      </c>
      <c r="B12" s="145">
        <v>45707</v>
      </c>
      <c r="C12" s="221">
        <v>2507</v>
      </c>
      <c r="D12" s="119" t="s">
        <v>532</v>
      </c>
      <c r="E12" s="147"/>
      <c r="F12" s="147">
        <f t="shared" si="0"/>
        <v>3345.69</v>
      </c>
      <c r="G12" s="218">
        <v>-92.25</v>
      </c>
      <c r="H12" s="148">
        <f t="shared" si="1"/>
        <v>985.59999999999991</v>
      </c>
      <c r="I12" s="155">
        <f t="shared" si="2"/>
        <v>2360.09</v>
      </c>
      <c r="J12" s="149"/>
    </row>
    <row r="13" spans="1:10" x14ac:dyDescent="0.25">
      <c r="A13" s="119" t="s">
        <v>531</v>
      </c>
      <c r="B13" s="145">
        <v>45707</v>
      </c>
      <c r="C13" s="221">
        <v>9500</v>
      </c>
      <c r="D13" s="119" t="s">
        <v>532</v>
      </c>
      <c r="E13" s="147"/>
      <c r="F13" s="147">
        <f t="shared" si="0"/>
        <v>3345.69</v>
      </c>
      <c r="G13" s="218">
        <v>-985.6</v>
      </c>
      <c r="H13" s="148">
        <f t="shared" si="1"/>
        <v>0</v>
      </c>
      <c r="I13" s="155">
        <f t="shared" si="2"/>
        <v>3345.69</v>
      </c>
      <c r="J13" s="149"/>
    </row>
    <row r="14" spans="1:10" x14ac:dyDescent="0.25">
      <c r="A14" s="169" t="s">
        <v>559</v>
      </c>
      <c r="B14" s="145">
        <v>45723</v>
      </c>
      <c r="C14" s="177">
        <v>2507</v>
      </c>
      <c r="D14" s="222" t="s">
        <v>560</v>
      </c>
      <c r="E14" s="147"/>
      <c r="F14" s="147">
        <f t="shared" si="0"/>
        <v>3345.69</v>
      </c>
      <c r="G14" s="165">
        <f>35.56+129.72</f>
        <v>165.28</v>
      </c>
      <c r="H14" s="148">
        <f t="shared" si="1"/>
        <v>165.28</v>
      </c>
      <c r="I14" s="155">
        <f t="shared" si="2"/>
        <v>3180.41</v>
      </c>
      <c r="J14" s="149"/>
    </row>
    <row r="15" spans="1:10" x14ac:dyDescent="0.25">
      <c r="A15" s="169" t="s">
        <v>559</v>
      </c>
      <c r="B15" s="145">
        <v>45723</v>
      </c>
      <c r="C15" s="177">
        <v>9500</v>
      </c>
      <c r="D15" s="119" t="s">
        <v>561</v>
      </c>
      <c r="E15" s="147"/>
      <c r="F15" s="147">
        <f t="shared" si="0"/>
        <v>3345.69</v>
      </c>
      <c r="G15" s="165">
        <f>49.5+664.4</f>
        <v>713.9</v>
      </c>
      <c r="H15" s="148">
        <f t="shared" si="1"/>
        <v>879.18</v>
      </c>
      <c r="I15" s="155">
        <f t="shared" si="2"/>
        <v>2466.5099999999998</v>
      </c>
      <c r="J15" s="149"/>
    </row>
    <row r="16" spans="1:10" x14ac:dyDescent="0.25">
      <c r="A16" s="169" t="s">
        <v>656</v>
      </c>
      <c r="B16" s="145">
        <v>45756</v>
      </c>
      <c r="C16" s="177">
        <v>2507</v>
      </c>
      <c r="D16" s="222" t="s">
        <v>657</v>
      </c>
      <c r="E16" s="147"/>
      <c r="F16" s="147">
        <f t="shared" si="0"/>
        <v>3345.69</v>
      </c>
      <c r="G16" s="165">
        <f>61.8+89.75</f>
        <v>151.55000000000001</v>
      </c>
      <c r="H16" s="148">
        <f t="shared" si="1"/>
        <v>1030.73</v>
      </c>
      <c r="I16" s="155">
        <f t="shared" si="2"/>
        <v>2314.9599999999996</v>
      </c>
      <c r="J16" s="149"/>
    </row>
    <row r="17" spans="1:10" x14ac:dyDescent="0.25">
      <c r="A17" s="169" t="s">
        <v>656</v>
      </c>
      <c r="B17" s="145">
        <v>45756</v>
      </c>
      <c r="C17" s="177">
        <v>9500</v>
      </c>
      <c r="D17" s="119" t="s">
        <v>658</v>
      </c>
      <c r="E17" s="147"/>
      <c r="F17" s="147">
        <f t="shared" si="0"/>
        <v>3345.69</v>
      </c>
      <c r="G17" s="165">
        <f>85+1001</f>
        <v>1086</v>
      </c>
      <c r="H17" s="148">
        <f t="shared" si="1"/>
        <v>2116.73</v>
      </c>
      <c r="I17" s="155">
        <f t="shared" si="2"/>
        <v>1228.9599999999996</v>
      </c>
      <c r="J17" s="149"/>
    </row>
    <row r="18" spans="1:10" x14ac:dyDescent="0.25">
      <c r="A18" s="169" t="s">
        <v>727</v>
      </c>
      <c r="B18" s="145">
        <v>45786</v>
      </c>
      <c r="C18" s="177">
        <v>2507</v>
      </c>
      <c r="D18" s="222" t="s">
        <v>729</v>
      </c>
      <c r="E18" s="147"/>
      <c r="F18" s="147">
        <f t="shared" si="0"/>
        <v>3345.69</v>
      </c>
      <c r="G18" s="165">
        <f>62.23+83.44</f>
        <v>145.66999999999999</v>
      </c>
      <c r="H18" s="148">
        <f t="shared" si="1"/>
        <v>2262.4</v>
      </c>
      <c r="I18" s="155">
        <f t="shared" si="2"/>
        <v>1083.2899999999995</v>
      </c>
      <c r="J18" s="149"/>
    </row>
    <row r="19" spans="1:10" x14ac:dyDescent="0.25">
      <c r="A19" s="169" t="s">
        <v>727</v>
      </c>
      <c r="B19" s="145">
        <v>45786</v>
      </c>
      <c r="C19" s="177">
        <v>9500</v>
      </c>
      <c r="D19" s="119" t="s">
        <v>730</v>
      </c>
      <c r="E19" s="147"/>
      <c r="F19" s="147">
        <f t="shared" si="0"/>
        <v>3345.69</v>
      </c>
      <c r="G19" s="165">
        <f>78+922.9</f>
        <v>1000.9</v>
      </c>
      <c r="H19" s="148">
        <f t="shared" si="1"/>
        <v>3263.3</v>
      </c>
      <c r="I19" s="155">
        <f t="shared" si="2"/>
        <v>82.389999999999532</v>
      </c>
      <c r="J19" s="149"/>
    </row>
    <row r="20" spans="1:10" x14ac:dyDescent="0.25">
      <c r="A20" s="169" t="s">
        <v>822</v>
      </c>
      <c r="B20" s="145">
        <v>45817</v>
      </c>
      <c r="C20" s="177">
        <v>2507</v>
      </c>
      <c r="D20" s="222" t="s">
        <v>823</v>
      </c>
      <c r="E20" s="147"/>
      <c r="F20" s="147">
        <f t="shared" si="0"/>
        <v>3345.69</v>
      </c>
      <c r="G20" s="165">
        <f>5.08+4.21</f>
        <v>9.2899999999999991</v>
      </c>
      <c r="H20" s="148">
        <f t="shared" si="1"/>
        <v>3272.59</v>
      </c>
      <c r="I20" s="155">
        <f t="shared" si="2"/>
        <v>73.09999999999954</v>
      </c>
      <c r="J20" s="149"/>
    </row>
    <row r="21" spans="1:10" x14ac:dyDescent="0.25">
      <c r="A21" s="169" t="s">
        <v>822</v>
      </c>
      <c r="B21" s="145">
        <v>45817</v>
      </c>
      <c r="C21" s="177">
        <v>9500</v>
      </c>
      <c r="D21" s="119" t="s">
        <v>824</v>
      </c>
      <c r="E21" s="147"/>
      <c r="F21" s="147">
        <f t="shared" si="0"/>
        <v>3345.69</v>
      </c>
      <c r="G21" s="165">
        <f>6+67.1</f>
        <v>73.099999999999994</v>
      </c>
      <c r="H21" s="148">
        <f t="shared" si="1"/>
        <v>3345.69</v>
      </c>
      <c r="I21" s="350">
        <f t="shared" si="2"/>
        <v>-4.5474735088646412E-13</v>
      </c>
      <c r="J21" s="149"/>
    </row>
    <row r="22" spans="1:10" x14ac:dyDescent="0.25">
      <c r="A22" s="169"/>
      <c r="B22" s="145"/>
      <c r="C22" s="177"/>
      <c r="D22" s="119"/>
      <c r="E22" s="147"/>
      <c r="F22" s="147">
        <f t="shared" si="0"/>
        <v>3345.69</v>
      </c>
      <c r="G22" s="150"/>
      <c r="H22" s="148">
        <f t="shared" si="1"/>
        <v>3345.69</v>
      </c>
      <c r="I22" s="350">
        <f t="shared" si="2"/>
        <v>-4.5474735088646412E-13</v>
      </c>
      <c r="J22" s="149"/>
    </row>
    <row r="23" spans="1:10" x14ac:dyDescent="0.25">
      <c r="A23" s="169"/>
      <c r="B23" s="145"/>
      <c r="C23" s="177"/>
      <c r="D23" s="119"/>
      <c r="E23" s="147"/>
      <c r="F23" s="147">
        <f t="shared" si="0"/>
        <v>3345.69</v>
      </c>
      <c r="G23" s="150"/>
      <c r="H23" s="148">
        <f t="shared" si="1"/>
        <v>3345.69</v>
      </c>
      <c r="I23" s="350">
        <f t="shared" si="2"/>
        <v>-4.5474735088646412E-13</v>
      </c>
      <c r="J23" s="149"/>
    </row>
    <row r="24" spans="1:10" x14ac:dyDescent="0.25">
      <c r="A24" s="169"/>
      <c r="B24" s="145"/>
      <c r="C24" s="177"/>
      <c r="D24" s="119"/>
      <c r="E24" s="147"/>
      <c r="F24" s="147">
        <f t="shared" si="0"/>
        <v>3345.69</v>
      </c>
      <c r="G24" s="150"/>
      <c r="H24" s="148">
        <f t="shared" si="1"/>
        <v>3345.69</v>
      </c>
      <c r="I24" s="350">
        <f t="shared" si="2"/>
        <v>-4.5474735088646412E-13</v>
      </c>
      <c r="J24" s="149"/>
    </row>
    <row r="25" spans="1:10" x14ac:dyDescent="0.25">
      <c r="A25" s="119"/>
      <c r="B25" s="146"/>
      <c r="C25" s="146"/>
      <c r="D25" s="152"/>
      <c r="E25" s="148"/>
      <c r="F25" s="148"/>
      <c r="G25" s="148"/>
      <c r="H25" s="148"/>
      <c r="I25" s="350"/>
      <c r="J25" s="149"/>
    </row>
    <row r="26" spans="1:10" ht="15.75" thickBot="1" x14ac:dyDescent="0.3">
      <c r="A26" s="119"/>
      <c r="B26" s="153"/>
      <c r="C26" s="153"/>
      <c r="D26" s="154" t="s">
        <v>54</v>
      </c>
      <c r="E26" s="123">
        <f>SUM(E9:E25)</f>
        <v>3345.69</v>
      </c>
      <c r="F26" s="123"/>
      <c r="G26" s="123">
        <f>SUM(G9:G25)</f>
        <v>3345.6899999999996</v>
      </c>
      <c r="H26" s="123"/>
      <c r="I26" s="123">
        <f>E26-G26</f>
        <v>0</v>
      </c>
      <c r="J26" s="149"/>
    </row>
    <row r="27" spans="1:10" ht="15" customHeight="1" thickTop="1" x14ac:dyDescent="0.25"/>
  </sheetData>
  <pageMargins left="0.25" right="0.25" top="0.85" bottom="0.75" header="0.08" footer="0.3"/>
  <pageSetup scale="59"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47">
    <tabColor rgb="FF0070C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8.7109375" customWidth="1"/>
    <col min="3" max="3" width="8.5703125" customWidth="1"/>
    <col min="4" max="4" width="11.42578125" customWidth="1"/>
    <col min="5" max="5" width="30.28515625" customWidth="1"/>
    <col min="6" max="6" width="14.85546875" customWidth="1"/>
    <col min="7" max="7" width="12.42578125" customWidth="1"/>
    <col min="8" max="8" width="15.42578125" customWidth="1"/>
  </cols>
  <sheetData>
    <row r="1" spans="1:8" ht="15.75" x14ac:dyDescent="0.25">
      <c r="A1" s="109" t="str">
        <f>'RECAP #9467.00'!B1</f>
        <v>HHS IMHI Soil Remediation</v>
      </c>
      <c r="B1" s="109"/>
      <c r="C1" s="109"/>
      <c r="D1" s="109"/>
      <c r="E1" s="179"/>
      <c r="F1" s="179"/>
      <c r="G1" s="179"/>
      <c r="H1" s="180"/>
    </row>
    <row r="2" spans="1:8" ht="15.75" x14ac:dyDescent="0.25">
      <c r="A2" s="126" t="str">
        <f>'RECAP #9467.00'!B2</f>
        <v>Project # 9467.00</v>
      </c>
      <c r="B2" s="182"/>
      <c r="C2" s="182"/>
      <c r="D2" s="182"/>
      <c r="E2" s="179"/>
      <c r="F2" s="179"/>
      <c r="G2" s="179"/>
      <c r="H2" s="180"/>
    </row>
    <row r="3" spans="1:8" ht="15.75" x14ac:dyDescent="0.25">
      <c r="A3" s="183" t="str">
        <f>'RECAP #9467.00'!B3</f>
        <v>Program code 946700</v>
      </c>
      <c r="B3" s="182"/>
      <c r="C3" s="182"/>
      <c r="D3" s="182"/>
      <c r="E3" s="184" t="str">
        <f>'RECAP #9467.00'!E3</f>
        <v>Major Program 4B02</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#9467.00'!B6</f>
        <v>Project Manager -  Jennie E</v>
      </c>
      <c r="B6" s="126"/>
      <c r="C6" s="126"/>
      <c r="D6" s="126"/>
      <c r="E6" s="184" t="s">
        <v>530</v>
      </c>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x14ac:dyDescent="0.25">
      <c r="A9" s="137" t="s">
        <v>699</v>
      </c>
      <c r="B9" s="375">
        <v>45775</v>
      </c>
      <c r="C9" s="338">
        <v>9500</v>
      </c>
      <c r="D9" s="376" t="s">
        <v>322</v>
      </c>
      <c r="E9" s="336" t="s">
        <v>319</v>
      </c>
      <c r="F9" s="318" t="s">
        <v>698</v>
      </c>
      <c r="G9" s="203">
        <v>12000</v>
      </c>
      <c r="H9" s="211">
        <f>G9</f>
        <v>12000</v>
      </c>
    </row>
    <row r="10" spans="1:8" x14ac:dyDescent="0.25">
      <c r="A10" s="195" t="s">
        <v>761</v>
      </c>
      <c r="B10" s="375">
        <v>45797</v>
      </c>
      <c r="C10" s="338">
        <v>9500</v>
      </c>
      <c r="D10" s="376" t="s">
        <v>322</v>
      </c>
      <c r="E10" s="137" t="s">
        <v>456</v>
      </c>
      <c r="F10" s="319" t="s">
        <v>760</v>
      </c>
      <c r="G10" s="203">
        <v>300</v>
      </c>
      <c r="H10" s="211">
        <f>H9+G10</f>
        <v>12300</v>
      </c>
    </row>
    <row r="11" spans="1:8" x14ac:dyDescent="0.25">
      <c r="A11" s="195"/>
      <c r="B11" s="375"/>
      <c r="C11" s="317"/>
      <c r="D11" s="204"/>
      <c r="E11" s="137"/>
      <c r="F11" s="319"/>
      <c r="G11" s="211"/>
      <c r="H11" s="211">
        <f t="shared" ref="H11:H20" si="0">H10+G11</f>
        <v>12300</v>
      </c>
    </row>
    <row r="12" spans="1:8" x14ac:dyDescent="0.25">
      <c r="A12" s="195" t="s">
        <v>3</v>
      </c>
      <c r="B12" s="375" t="s">
        <v>3</v>
      </c>
      <c r="C12" s="317"/>
      <c r="D12" s="204"/>
      <c r="E12" s="137" t="s">
        <v>3</v>
      </c>
      <c r="F12" s="319"/>
      <c r="G12" s="211"/>
      <c r="H12" s="211">
        <f t="shared" si="0"/>
        <v>12300</v>
      </c>
    </row>
    <row r="13" spans="1:8" x14ac:dyDescent="0.25">
      <c r="A13" s="195" t="s">
        <v>3</v>
      </c>
      <c r="B13" s="375" t="s">
        <v>3</v>
      </c>
      <c r="C13" s="317"/>
      <c r="D13" s="204"/>
      <c r="E13" s="137" t="s">
        <v>3</v>
      </c>
      <c r="F13" s="319"/>
      <c r="G13" s="211"/>
      <c r="H13" s="211">
        <f t="shared" si="0"/>
        <v>12300</v>
      </c>
    </row>
    <row r="14" spans="1:8" x14ac:dyDescent="0.25">
      <c r="A14" s="195"/>
      <c r="B14" s="375"/>
      <c r="C14" s="317"/>
      <c r="D14" s="204"/>
      <c r="E14" s="137"/>
      <c r="F14" s="319"/>
      <c r="G14" s="211"/>
      <c r="H14" s="211">
        <f t="shared" si="0"/>
        <v>12300</v>
      </c>
    </row>
    <row r="15" spans="1:8" x14ac:dyDescent="0.25">
      <c r="A15" s="195"/>
      <c r="B15" s="375"/>
      <c r="C15" s="317"/>
      <c r="D15" s="204"/>
      <c r="E15" s="132"/>
      <c r="F15" s="319"/>
      <c r="G15" s="211"/>
      <c r="H15" s="211">
        <f t="shared" si="0"/>
        <v>12300</v>
      </c>
    </row>
    <row r="16" spans="1:8" x14ac:dyDescent="0.25">
      <c r="A16" s="195"/>
      <c r="B16" s="375"/>
      <c r="C16" s="317"/>
      <c r="D16" s="204"/>
      <c r="E16" s="137"/>
      <c r="F16" s="319"/>
      <c r="G16" s="211"/>
      <c r="H16" s="211">
        <f t="shared" si="0"/>
        <v>12300</v>
      </c>
    </row>
    <row r="17" spans="1:8" x14ac:dyDescent="0.25">
      <c r="A17" s="195"/>
      <c r="B17" s="375"/>
      <c r="C17" s="317"/>
      <c r="D17" s="204"/>
      <c r="E17" s="137"/>
      <c r="F17" s="319"/>
      <c r="G17" s="211"/>
      <c r="H17" s="211">
        <f t="shared" si="0"/>
        <v>12300</v>
      </c>
    </row>
    <row r="18" spans="1:8" x14ac:dyDescent="0.25">
      <c r="A18" s="195"/>
      <c r="B18" s="375"/>
      <c r="C18" s="317"/>
      <c r="D18" s="204"/>
      <c r="E18" s="137"/>
      <c r="F18" s="319"/>
      <c r="G18" s="211"/>
      <c r="H18" s="211">
        <f t="shared" si="0"/>
        <v>12300</v>
      </c>
    </row>
    <row r="19" spans="1:8" x14ac:dyDescent="0.25">
      <c r="A19" s="195"/>
      <c r="B19" s="375"/>
      <c r="C19" s="317"/>
      <c r="D19" s="204"/>
      <c r="E19" s="137"/>
      <c r="F19" s="319"/>
      <c r="G19" s="211"/>
      <c r="H19" s="211">
        <f t="shared" si="0"/>
        <v>12300</v>
      </c>
    </row>
    <row r="20" spans="1:8" x14ac:dyDescent="0.25">
      <c r="A20" s="195"/>
      <c r="B20" s="375"/>
      <c r="C20" s="317"/>
      <c r="D20" s="204"/>
      <c r="E20" s="137"/>
      <c r="F20" s="319"/>
      <c r="G20" s="211"/>
      <c r="H20" s="211">
        <f t="shared" si="0"/>
        <v>12300</v>
      </c>
    </row>
    <row r="21" spans="1:8" x14ac:dyDescent="0.25">
      <c r="A21" s="195"/>
      <c r="B21" s="320"/>
      <c r="C21" s="317"/>
      <c r="D21" s="204"/>
      <c r="E21" s="137"/>
      <c r="F21" s="211"/>
      <c r="G21" s="137"/>
      <c r="H21" s="211"/>
    </row>
    <row r="22" spans="1:8" ht="15.75" thickBot="1" x14ac:dyDescent="0.3">
      <c r="A22" s="321"/>
      <c r="B22" s="322"/>
      <c r="C22" s="323"/>
      <c r="D22" s="324"/>
      <c r="E22" s="325" t="s">
        <v>54</v>
      </c>
      <c r="F22" s="326"/>
      <c r="G22" s="208">
        <f>SUM(G9:G21)</f>
        <v>12300</v>
      </c>
      <c r="H22" s="326"/>
    </row>
    <row r="23" spans="1:8" ht="15" customHeight="1" thickTop="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48">
    <tabColor rgb="FF0070C0"/>
    <pageSetUpPr fitToPage="1"/>
  </sheetPr>
  <dimension ref="A1:G18"/>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480</v>
      </c>
      <c r="C1" s="109"/>
      <c r="D1" s="179"/>
      <c r="E1" s="179"/>
      <c r="F1" s="179"/>
      <c r="G1" s="179"/>
    </row>
    <row r="2" spans="1:7" ht="15.75" x14ac:dyDescent="0.25">
      <c r="A2" s="212"/>
      <c r="B2" s="126" t="s">
        <v>471</v>
      </c>
      <c r="C2" s="182"/>
      <c r="D2" s="179"/>
      <c r="E2" s="179"/>
      <c r="F2" s="179"/>
      <c r="G2" s="179"/>
    </row>
    <row r="3" spans="1:7" ht="15.75" x14ac:dyDescent="0.25">
      <c r="A3" s="212"/>
      <c r="B3" s="183" t="s">
        <v>472</v>
      </c>
      <c r="C3" s="182"/>
      <c r="D3" s="179"/>
      <c r="E3" s="184" t="s">
        <v>474</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473</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'#9468.00 Funds Rec''d '!H24</f>
        <v>0</v>
      </c>
      <c r="D8" s="258"/>
      <c r="E8" s="258"/>
      <c r="F8" s="258"/>
      <c r="G8" s="259"/>
    </row>
    <row r="9" spans="1:7" x14ac:dyDescent="0.25">
      <c r="A9" s="212"/>
      <c r="B9" s="182"/>
      <c r="C9" s="260"/>
      <c r="D9" s="261"/>
      <c r="E9" s="261"/>
      <c r="F9" s="261"/>
      <c r="G9" s="259"/>
    </row>
    <row r="10" spans="1:7" x14ac:dyDescent="0.25">
      <c r="A10" s="212"/>
      <c r="B10" s="182" t="s">
        <v>40</v>
      </c>
      <c r="C10" s="260"/>
      <c r="D10" s="258">
        <f>'#9468.00 Vendor A '!D23</f>
        <v>0</v>
      </c>
      <c r="E10" s="258">
        <f>'#9468.00 Vendor A '!F23</f>
        <v>0</v>
      </c>
      <c r="F10" s="258">
        <f>'#9468.00 Vendor A '!H23</f>
        <v>0</v>
      </c>
      <c r="G10" s="259"/>
    </row>
    <row r="11" spans="1:7" x14ac:dyDescent="0.25">
      <c r="A11" s="212"/>
      <c r="B11" s="182" t="s">
        <v>41</v>
      </c>
      <c r="C11" s="260"/>
      <c r="D11" s="258">
        <f>'#9468.00 PM TIME '!E23</f>
        <v>0</v>
      </c>
      <c r="E11" s="258">
        <f>'#9468.00 PM TIME '!G23</f>
        <v>0</v>
      </c>
      <c r="F11" s="258">
        <f>'#9468.00 PM TIME '!I23</f>
        <v>0</v>
      </c>
      <c r="G11" s="259"/>
    </row>
    <row r="12" spans="1:7" x14ac:dyDescent="0.25">
      <c r="A12" s="212"/>
      <c r="B12" s="182" t="s">
        <v>42</v>
      </c>
      <c r="C12" s="261"/>
      <c r="D12" s="262">
        <f>'#9468.00 Misc '!G22</f>
        <v>0</v>
      </c>
      <c r="E12" s="262">
        <f>'#9468.00 Misc '!G22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43</v>
      </c>
      <c r="C14" s="265">
        <f>SUM(C8:C13)</f>
        <v>0</v>
      </c>
      <c r="D14" s="265">
        <f>SUM(D8:D13)</f>
        <v>0</v>
      </c>
      <c r="E14" s="265">
        <f>SUM(E8:E13)</f>
        <v>0</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547</v>
      </c>
      <c r="C17" s="182"/>
      <c r="D17" s="259"/>
      <c r="E17" s="259"/>
      <c r="F17" s="259"/>
      <c r="G17" s="259"/>
    </row>
    <row r="18" spans="1:7" ht="13.35" customHeight="1" x14ac:dyDescent="0.25">
      <c r="A18" s="212"/>
      <c r="B18" s="212" t="s">
        <v>548</v>
      </c>
      <c r="C18" s="182"/>
      <c r="D18" s="259"/>
      <c r="E18" s="259"/>
      <c r="F18" s="259"/>
      <c r="G18"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6065-528C-4E52-9BE7-35F18F5ADE96}">
  <sheetPr codeName="Sheet15">
    <pageSetUpPr fitToPage="1"/>
  </sheetPr>
  <dimension ref="A1:J27"/>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78" t="str">
        <f>'RECAP #9239.02'!B1</f>
        <v>DOC-NCF-IPI Homes or Iowa Facility Project Phase II(Warehouse)</v>
      </c>
      <c r="B1" s="79"/>
      <c r="C1" s="6"/>
      <c r="D1" s="6"/>
      <c r="E1" s="6"/>
      <c r="F1" s="124"/>
      <c r="G1" s="124"/>
      <c r="H1" s="125"/>
      <c r="I1" s="125"/>
    </row>
    <row r="2" spans="1:10" ht="15.75" x14ac:dyDescent="0.25">
      <c r="A2" s="81" t="str">
        <f>'RECAP #9239.02'!B2</f>
        <v>Project # 9239.02</v>
      </c>
      <c r="B2" s="80"/>
      <c r="C2" s="6"/>
      <c r="D2" s="6"/>
      <c r="E2" s="6"/>
      <c r="F2" s="124"/>
      <c r="G2" s="124"/>
      <c r="H2" s="125"/>
      <c r="I2" s="125"/>
    </row>
    <row r="3" spans="1:10" ht="15.75" x14ac:dyDescent="0.25">
      <c r="A3" s="82" t="str">
        <f>'RECAP #9239.02'!B3</f>
        <v>Program code 923902</v>
      </c>
      <c r="B3" s="80"/>
      <c r="C3" s="6"/>
      <c r="D3" s="83" t="str">
        <f>'RECAP #9239.02'!E3</f>
        <v>Major Program 4B01</v>
      </c>
      <c r="E3" s="6"/>
      <c r="F3" s="124"/>
      <c r="G3" s="124"/>
      <c r="H3" s="125"/>
      <c r="I3" s="125"/>
    </row>
    <row r="4" spans="1:10" ht="15.75" x14ac:dyDescent="0.25">
      <c r="A4" s="109" t="s">
        <v>1739</v>
      </c>
      <c r="B4" s="126"/>
      <c r="C4" s="127"/>
      <c r="D4" s="128" t="s">
        <v>1737</v>
      </c>
      <c r="E4" s="124"/>
      <c r="F4" s="124"/>
      <c r="G4" s="124"/>
      <c r="H4" s="125"/>
      <c r="I4" s="125"/>
    </row>
    <row r="5" spans="1:10" ht="15.75" x14ac:dyDescent="0.25">
      <c r="A5" s="129" t="s">
        <v>109</v>
      </c>
      <c r="B5" s="130"/>
      <c r="C5" s="131"/>
      <c r="D5" s="132" t="s">
        <v>322</v>
      </c>
      <c r="E5" s="133"/>
      <c r="F5" s="134"/>
      <c r="G5" s="134"/>
      <c r="H5" s="130"/>
      <c r="I5" s="125"/>
    </row>
    <row r="6" spans="1:10" ht="15.75" x14ac:dyDescent="0.25">
      <c r="A6" s="86" t="str">
        <f>'RECAP #9239.02'!B6</f>
        <v>Project Manager - Brad T.</v>
      </c>
      <c r="B6" s="86"/>
      <c r="C6" s="135"/>
      <c r="D6" s="136" t="s">
        <v>810</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49</v>
      </c>
      <c r="B8" s="141" t="s">
        <v>4</v>
      </c>
      <c r="C8" s="142" t="s">
        <v>11</v>
      </c>
      <c r="D8" s="143" t="s">
        <v>50</v>
      </c>
      <c r="E8" s="143" t="s">
        <v>51</v>
      </c>
      <c r="F8" s="143" t="s">
        <v>52</v>
      </c>
      <c r="G8" s="143" t="s">
        <v>53</v>
      </c>
      <c r="H8" s="143" t="s">
        <v>12</v>
      </c>
      <c r="I8" s="125" t="s">
        <v>3</v>
      </c>
    </row>
    <row r="9" spans="1:10" ht="12.75" customHeight="1" x14ac:dyDescent="0.25">
      <c r="A9" s="408" t="s">
        <v>1738</v>
      </c>
      <c r="B9" s="409">
        <v>46114</v>
      </c>
      <c r="C9" s="410" t="s">
        <v>107</v>
      </c>
      <c r="D9" s="411">
        <v>17198.75</v>
      </c>
      <c r="E9" s="412">
        <f>D9</f>
        <v>17198.75</v>
      </c>
      <c r="F9" s="413"/>
      <c r="G9" s="413"/>
      <c r="H9" s="413">
        <f>E9</f>
        <v>17198.75</v>
      </c>
      <c r="I9" s="444"/>
      <c r="J9" s="330"/>
    </row>
    <row r="10" spans="1:10" ht="12.75" customHeight="1" x14ac:dyDescent="0.25">
      <c r="A10" s="408"/>
      <c r="B10" s="240"/>
      <c r="C10" s="410"/>
      <c r="D10" s="412"/>
      <c r="E10" s="412">
        <f t="shared" ref="E10:E21" si="0">E9+D10</f>
        <v>17198.75</v>
      </c>
      <c r="F10" s="445"/>
      <c r="G10" s="413">
        <f t="shared" ref="G10:G21" si="1">G9+F10</f>
        <v>0</v>
      </c>
      <c r="H10" s="413">
        <f t="shared" ref="H10:H21" si="2">H9-F10+D10</f>
        <v>17198.75</v>
      </c>
      <c r="I10" s="446"/>
      <c r="J10" s="330"/>
    </row>
    <row r="11" spans="1:10" ht="12.75" customHeight="1" x14ac:dyDescent="0.25">
      <c r="A11" s="408"/>
      <c r="B11" s="409"/>
      <c r="C11" s="410"/>
      <c r="D11" s="411"/>
      <c r="E11" s="412">
        <f t="shared" si="0"/>
        <v>17198.75</v>
      </c>
      <c r="F11" s="445"/>
      <c r="G11" s="413">
        <f t="shared" si="1"/>
        <v>0</v>
      </c>
      <c r="H11" s="413">
        <f t="shared" si="2"/>
        <v>17198.75</v>
      </c>
      <c r="I11" s="444"/>
      <c r="J11" s="330"/>
    </row>
    <row r="12" spans="1:10" ht="12.75" customHeight="1" x14ac:dyDescent="0.25">
      <c r="A12" s="408"/>
      <c r="B12" s="409"/>
      <c r="C12" s="410"/>
      <c r="D12" s="412"/>
      <c r="E12" s="412">
        <f t="shared" si="0"/>
        <v>17198.75</v>
      </c>
      <c r="F12" s="445"/>
      <c r="G12" s="413">
        <f t="shared" si="1"/>
        <v>0</v>
      </c>
      <c r="H12" s="413">
        <f t="shared" si="2"/>
        <v>17198.75</v>
      </c>
      <c r="I12" s="444"/>
      <c r="J12" s="330"/>
    </row>
    <row r="13" spans="1:10" ht="12.75" customHeight="1" x14ac:dyDescent="0.25">
      <c r="A13" s="408"/>
      <c r="B13" s="409"/>
      <c r="C13" s="410"/>
      <c r="D13" s="412"/>
      <c r="E13" s="412">
        <f t="shared" si="0"/>
        <v>17198.75</v>
      </c>
      <c r="F13" s="445"/>
      <c r="G13" s="413">
        <f t="shared" si="1"/>
        <v>0</v>
      </c>
      <c r="H13" s="413">
        <f t="shared" si="2"/>
        <v>17198.75</v>
      </c>
      <c r="I13" s="444"/>
      <c r="J13" s="330"/>
    </row>
    <row r="14" spans="1:10" ht="12.75" customHeight="1" x14ac:dyDescent="0.25">
      <c r="A14" s="408"/>
      <c r="B14" s="409"/>
      <c r="C14" s="410"/>
      <c r="D14" s="412"/>
      <c r="E14" s="412">
        <f t="shared" si="0"/>
        <v>17198.75</v>
      </c>
      <c r="F14" s="445"/>
      <c r="G14" s="413">
        <f t="shared" si="1"/>
        <v>0</v>
      </c>
      <c r="H14" s="413">
        <f t="shared" si="2"/>
        <v>17198.75</v>
      </c>
      <c r="I14" s="444"/>
      <c r="J14" s="330"/>
    </row>
    <row r="15" spans="1:10" ht="12.75" customHeight="1" x14ac:dyDescent="0.25">
      <c r="A15" s="408"/>
      <c r="B15" s="409"/>
      <c r="C15" s="410"/>
      <c r="D15" s="412"/>
      <c r="E15" s="412">
        <f t="shared" si="0"/>
        <v>17198.75</v>
      </c>
      <c r="F15" s="422"/>
      <c r="G15" s="413">
        <f t="shared" si="1"/>
        <v>0</v>
      </c>
      <c r="H15" s="413">
        <f t="shared" si="2"/>
        <v>17198.75</v>
      </c>
      <c r="I15" s="444"/>
      <c r="J15" s="330"/>
    </row>
    <row r="16" spans="1:10" ht="12.75" customHeight="1" x14ac:dyDescent="0.25">
      <c r="A16" s="408"/>
      <c r="B16" s="409"/>
      <c r="C16" s="410"/>
      <c r="D16" s="412"/>
      <c r="E16" s="412">
        <f t="shared" si="0"/>
        <v>17198.75</v>
      </c>
      <c r="F16" s="422"/>
      <c r="G16" s="413">
        <f t="shared" si="1"/>
        <v>0</v>
      </c>
      <c r="H16" s="413">
        <f t="shared" si="2"/>
        <v>17198.75</v>
      </c>
      <c r="I16" s="444"/>
      <c r="J16" s="330"/>
    </row>
    <row r="17" spans="1:10" ht="12.75" customHeight="1" x14ac:dyDescent="0.25">
      <c r="A17" s="408"/>
      <c r="B17" s="409"/>
      <c r="C17" s="410"/>
      <c r="D17" s="412"/>
      <c r="E17" s="412">
        <f t="shared" si="0"/>
        <v>17198.75</v>
      </c>
      <c r="F17" s="422"/>
      <c r="G17" s="413">
        <f t="shared" si="1"/>
        <v>0</v>
      </c>
      <c r="H17" s="413">
        <f t="shared" si="2"/>
        <v>17198.75</v>
      </c>
      <c r="I17" s="444"/>
      <c r="J17" s="330"/>
    </row>
    <row r="18" spans="1:10" ht="12.75" customHeight="1" x14ac:dyDescent="0.25">
      <c r="A18" s="408"/>
      <c r="B18" s="409"/>
      <c r="C18" s="410"/>
      <c r="D18" s="412"/>
      <c r="E18" s="412">
        <f t="shared" si="0"/>
        <v>17198.75</v>
      </c>
      <c r="F18" s="422"/>
      <c r="G18" s="413">
        <f t="shared" si="1"/>
        <v>0</v>
      </c>
      <c r="H18" s="413">
        <f t="shared" si="2"/>
        <v>17198.75</v>
      </c>
      <c r="I18" s="444"/>
      <c r="J18" s="330"/>
    </row>
    <row r="19" spans="1:10" ht="12.75" customHeight="1" x14ac:dyDescent="0.25">
      <c r="A19" s="408"/>
      <c r="B19" s="409"/>
      <c r="C19" s="410"/>
      <c r="D19" s="412"/>
      <c r="E19" s="412">
        <f t="shared" si="0"/>
        <v>17198.75</v>
      </c>
      <c r="F19" s="413"/>
      <c r="G19" s="413">
        <f t="shared" si="1"/>
        <v>0</v>
      </c>
      <c r="H19" s="413">
        <f t="shared" si="2"/>
        <v>17198.75</v>
      </c>
      <c r="I19" s="444"/>
      <c r="J19" s="330"/>
    </row>
    <row r="20" spans="1:10" ht="12.75" customHeight="1" x14ac:dyDescent="0.25">
      <c r="A20" s="408"/>
      <c r="B20" s="409"/>
      <c r="C20" s="410"/>
      <c r="D20" s="412"/>
      <c r="E20" s="412">
        <f t="shared" si="0"/>
        <v>17198.75</v>
      </c>
      <c r="F20" s="413"/>
      <c r="G20" s="413">
        <f t="shared" si="1"/>
        <v>0</v>
      </c>
      <c r="H20" s="413">
        <f t="shared" si="2"/>
        <v>17198.75</v>
      </c>
      <c r="I20" s="444"/>
      <c r="J20" s="330"/>
    </row>
    <row r="21" spans="1:10" ht="12.75" customHeight="1" x14ac:dyDescent="0.25">
      <c r="A21" s="408"/>
      <c r="B21" s="409"/>
      <c r="C21" s="423"/>
      <c r="D21" s="412"/>
      <c r="E21" s="412">
        <f t="shared" si="0"/>
        <v>17198.75</v>
      </c>
      <c r="F21" s="413"/>
      <c r="G21" s="413">
        <f t="shared" si="1"/>
        <v>0</v>
      </c>
      <c r="H21" s="413">
        <f t="shared" si="2"/>
        <v>17198.75</v>
      </c>
      <c r="I21" s="444"/>
      <c r="J21" s="330"/>
    </row>
    <row r="22" spans="1:10" ht="12.75" customHeight="1" x14ac:dyDescent="0.25">
      <c r="A22" s="144"/>
      <c r="B22" s="146"/>
      <c r="C22" s="152"/>
      <c r="D22" s="148"/>
      <c r="E22" s="148"/>
      <c r="F22" s="148"/>
      <c r="G22" s="148"/>
      <c r="H22" s="148"/>
      <c r="I22" s="149"/>
    </row>
    <row r="23" spans="1:10" ht="15.75" thickBot="1" x14ac:dyDescent="0.3">
      <c r="A23" s="144"/>
      <c r="B23" s="153"/>
      <c r="C23" s="154" t="s">
        <v>54</v>
      </c>
      <c r="D23" s="123">
        <f>SUM(D9:D22)</f>
        <v>17198.75</v>
      </c>
      <c r="E23" s="123"/>
      <c r="F23" s="123">
        <f>SUM(F9:F22)</f>
        <v>0</v>
      </c>
      <c r="G23" s="123"/>
      <c r="H23" s="123">
        <f>D23-F23</f>
        <v>17198.75</v>
      </c>
      <c r="I23" s="149"/>
    </row>
    <row r="24" spans="1:10" ht="15" customHeight="1" thickTop="1" x14ac:dyDescent="0.25"/>
    <row r="26" spans="1:10" ht="15" customHeight="1" x14ac:dyDescent="0.25">
      <c r="C26" s="152"/>
      <c r="D26" s="148"/>
      <c r="E26" s="148"/>
      <c r="F26" s="148"/>
      <c r="G26" s="148"/>
      <c r="H26" s="148"/>
    </row>
    <row r="27" spans="1:10" ht="15" customHeight="1" x14ac:dyDescent="0.25">
      <c r="C27" s="173"/>
      <c r="D27" s="178"/>
      <c r="E27" s="178"/>
      <c r="F27" s="178"/>
      <c r="G27" s="178"/>
      <c r="H27" s="178"/>
    </row>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49">
    <tabColor indexed="30"/>
    <pageSetUpPr fitToPage="1"/>
  </sheetPr>
  <dimension ref="A1:H25"/>
  <sheetViews>
    <sheetView tabSelected="1" zoomScaleNormal="100" workbookViewId="0">
      <selection activeCell="C38" sqref="C38"/>
    </sheetView>
  </sheetViews>
  <sheetFormatPr defaultColWidth="8.8554687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8.85546875" customWidth="1"/>
  </cols>
  <sheetData>
    <row r="1" spans="1:8" x14ac:dyDescent="0.25">
      <c r="A1" s="267" t="str">
        <f>'RECAP #9468.00'!B1</f>
        <v>IUC CC IUC Building Window Shade System Replacement</v>
      </c>
      <c r="B1" s="268"/>
      <c r="C1" s="269"/>
      <c r="D1" s="270"/>
      <c r="E1" s="270"/>
      <c r="F1" s="268"/>
      <c r="G1" s="268"/>
      <c r="H1" s="268"/>
    </row>
    <row r="2" spans="1:8" x14ac:dyDescent="0.25">
      <c r="A2" s="271" t="str">
        <f>'RECAP #9468.00'!B2</f>
        <v>Project # 9468.00</v>
      </c>
      <c r="B2" s="268"/>
      <c r="C2" s="272" t="s">
        <v>3</v>
      </c>
      <c r="D2" s="273"/>
      <c r="E2" s="273"/>
      <c r="F2" s="268"/>
      <c r="G2" s="268"/>
      <c r="H2" s="268"/>
    </row>
    <row r="3" spans="1:8" x14ac:dyDescent="0.25">
      <c r="A3" s="274" t="str">
        <f>'RECAP #9468.00'!B3</f>
        <v>Program code 946800</v>
      </c>
      <c r="B3" s="268"/>
      <c r="C3" s="272" t="s">
        <v>3</v>
      </c>
      <c r="D3" s="275" t="str">
        <f>'RECAP #9468.00'!E3</f>
        <v>Major Program 4A01</v>
      </c>
      <c r="E3" s="270"/>
      <c r="F3" s="268"/>
      <c r="G3" s="268"/>
      <c r="H3" s="268"/>
    </row>
    <row r="4" spans="1:8" ht="15.75" x14ac:dyDescent="0.25">
      <c r="A4" s="109" t="s">
        <v>44</v>
      </c>
      <c r="B4" s="276" t="s">
        <v>3</v>
      </c>
      <c r="C4" s="270"/>
      <c r="D4" s="270"/>
      <c r="E4" s="270"/>
      <c r="F4" s="268"/>
      <c r="G4" s="268"/>
      <c r="H4" s="268"/>
    </row>
    <row r="5" spans="1:8" x14ac:dyDescent="0.25">
      <c r="A5" s="263" t="s">
        <v>65</v>
      </c>
      <c r="B5" s="277"/>
      <c r="C5" s="278"/>
      <c r="D5" s="279"/>
      <c r="E5" s="268"/>
      <c r="F5" s="268"/>
      <c r="G5" s="268"/>
      <c r="H5" s="268"/>
    </row>
    <row r="6" spans="1:8" x14ac:dyDescent="0.25">
      <c r="A6" s="280" t="str">
        <f>'RECAP #9468.00'!B6</f>
        <v>Project Manager - Oliver S</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x14ac:dyDescent="0.25">
      <c r="A9" s="291"/>
      <c r="B9" s="292"/>
      <c r="C9" s="293"/>
      <c r="D9" s="294"/>
      <c r="E9" s="294"/>
      <c r="F9" s="295"/>
      <c r="G9" s="296"/>
      <c r="H9" s="297"/>
    </row>
    <row r="10" spans="1:8" x14ac:dyDescent="0.25">
      <c r="A10" s="291"/>
      <c r="B10" s="291"/>
      <c r="C10" s="298"/>
      <c r="D10" s="294"/>
      <c r="E10" s="291"/>
      <c r="F10" s="291"/>
      <c r="G10" s="299"/>
      <c r="H10" s="299"/>
    </row>
    <row r="11" spans="1:8" x14ac:dyDescent="0.25">
      <c r="A11" s="300"/>
      <c r="B11" s="298"/>
      <c r="C11" s="301"/>
      <c r="D11" s="294"/>
      <c r="E11" s="282"/>
      <c r="F11" s="291"/>
      <c r="G11" s="302"/>
      <c r="H11" s="297"/>
    </row>
    <row r="12" spans="1:8" x14ac:dyDescent="0.25">
      <c r="A12" s="300"/>
      <c r="B12" s="298"/>
      <c r="C12" s="303"/>
      <c r="D12" s="294"/>
      <c r="E12" s="282"/>
      <c r="F12" s="291"/>
      <c r="G12" s="302"/>
      <c r="H12" s="297"/>
    </row>
    <row r="13" spans="1:8" x14ac:dyDescent="0.25">
      <c r="A13" s="201"/>
      <c r="B13" s="304"/>
      <c r="C13" s="303"/>
      <c r="D13" s="294"/>
      <c r="E13" s="282"/>
      <c r="F13" s="291"/>
      <c r="G13" s="305"/>
      <c r="H13" s="297"/>
    </row>
    <row r="14" spans="1:8" x14ac:dyDescent="0.25">
      <c r="A14" s="300"/>
      <c r="B14" s="277"/>
      <c r="C14" s="303"/>
      <c r="D14" s="298"/>
      <c r="E14" s="277"/>
      <c r="F14" s="291"/>
      <c r="G14" s="302"/>
      <c r="H14" s="297"/>
    </row>
    <row r="15" spans="1:8" x14ac:dyDescent="0.25">
      <c r="A15" s="300"/>
      <c r="B15" s="277"/>
      <c r="C15" s="278"/>
      <c r="D15" s="279"/>
      <c r="E15" s="304"/>
      <c r="F15" s="306"/>
      <c r="G15" s="296"/>
      <c r="H15" s="296"/>
    </row>
    <row r="16" spans="1:8" x14ac:dyDescent="0.25">
      <c r="A16" s="300"/>
      <c r="B16" s="277"/>
      <c r="C16" s="278" t="s">
        <v>3</v>
      </c>
      <c r="D16" s="279"/>
      <c r="E16" s="277"/>
      <c r="F16" s="306"/>
      <c r="G16" s="296"/>
      <c r="H16" s="296"/>
    </row>
    <row r="17" spans="1:8" x14ac:dyDescent="0.25">
      <c r="A17" s="300"/>
      <c r="B17" s="277"/>
      <c r="C17" s="278"/>
      <c r="D17" s="279"/>
      <c r="E17" s="277"/>
      <c r="F17" s="306"/>
      <c r="G17" s="307"/>
      <c r="H17" s="278"/>
    </row>
    <row r="18" spans="1:8" x14ac:dyDescent="0.25">
      <c r="A18" s="300"/>
      <c r="B18" s="266"/>
      <c r="C18" s="278"/>
      <c r="D18" s="279"/>
      <c r="E18" s="277"/>
      <c r="F18" s="306"/>
      <c r="G18" s="296"/>
      <c r="H18" s="296"/>
    </row>
    <row r="19" spans="1:8" x14ac:dyDescent="0.25">
      <c r="A19" s="300"/>
      <c r="B19" s="277"/>
      <c r="C19" s="278"/>
      <c r="D19" s="279"/>
      <c r="E19" s="277"/>
      <c r="F19" s="306"/>
      <c r="G19" s="296"/>
      <c r="H19" s="296"/>
    </row>
    <row r="20" spans="1:8" x14ac:dyDescent="0.25">
      <c r="A20" s="300"/>
      <c r="B20" s="277"/>
      <c r="C20" s="278"/>
      <c r="D20" s="279"/>
      <c r="E20" s="277"/>
      <c r="F20" s="306"/>
      <c r="G20" s="307"/>
      <c r="H20" s="278"/>
    </row>
    <row r="21" spans="1:8" x14ac:dyDescent="0.25">
      <c r="A21" s="300"/>
      <c r="B21" s="277"/>
      <c r="C21" s="278"/>
      <c r="D21" s="279"/>
      <c r="E21" s="277"/>
      <c r="F21" s="306"/>
      <c r="G21" s="307"/>
      <c r="H21" s="278"/>
    </row>
    <row r="22" spans="1:8" x14ac:dyDescent="0.25">
      <c r="A22" s="300"/>
      <c r="B22" s="277"/>
      <c r="C22" s="278"/>
      <c r="D22" s="279"/>
      <c r="E22" s="277"/>
      <c r="F22" s="300"/>
      <c r="G22" s="296"/>
      <c r="H22" s="296"/>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0</v>
      </c>
      <c r="H24" s="208">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50">
    <tabColor indexed="3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09" t="str">
        <f>'RECAP #9468.00'!B1</f>
        <v>IUC CC IUC Building Window Shade System Replacement</v>
      </c>
      <c r="B1" s="109"/>
      <c r="C1" s="179"/>
      <c r="D1" s="179"/>
      <c r="E1" s="179"/>
      <c r="F1" s="180"/>
      <c r="G1" s="180"/>
      <c r="H1" s="181"/>
      <c r="I1" s="181"/>
    </row>
    <row r="2" spans="1:9" ht="15.75" x14ac:dyDescent="0.25">
      <c r="A2" s="126" t="str">
        <f>'RECAP #9468.00'!B2</f>
        <v>Project # 9468.00</v>
      </c>
      <c r="B2" s="182"/>
      <c r="C2" s="179"/>
      <c r="D2" s="179"/>
      <c r="E2" s="179"/>
      <c r="F2" s="180"/>
      <c r="G2" s="180"/>
      <c r="H2" s="181"/>
      <c r="I2" s="181"/>
    </row>
    <row r="3" spans="1:9" ht="15.75" x14ac:dyDescent="0.25">
      <c r="A3" s="183" t="str">
        <f>'RECAP #9468.00'!B3</f>
        <v>Program code 946800</v>
      </c>
      <c r="B3" s="182"/>
      <c r="C3" s="179"/>
      <c r="D3" s="184" t="str">
        <f>'RECAP #9468.00'!E3</f>
        <v>Major Program 4A01</v>
      </c>
      <c r="E3" s="179"/>
      <c r="F3" s="180"/>
      <c r="G3" s="180"/>
      <c r="H3" s="181"/>
      <c r="I3" s="181"/>
    </row>
    <row r="4" spans="1:9" ht="15.75" x14ac:dyDescent="0.25">
      <c r="A4" s="109" t="s">
        <v>13</v>
      </c>
      <c r="B4" s="126"/>
      <c r="C4" s="181"/>
      <c r="D4" s="185" t="s">
        <v>47</v>
      </c>
      <c r="E4" s="180"/>
      <c r="F4" s="180"/>
      <c r="G4" s="180"/>
      <c r="H4" s="181"/>
      <c r="I4" s="181"/>
    </row>
    <row r="5" spans="1:9" ht="15.75" x14ac:dyDescent="0.25">
      <c r="A5" s="186" t="s">
        <v>61</v>
      </c>
      <c r="B5" s="181"/>
      <c r="C5" s="187"/>
      <c r="D5" s="132"/>
      <c r="E5" s="137"/>
      <c r="F5" s="180"/>
      <c r="G5" s="180"/>
      <c r="H5" s="181"/>
      <c r="I5" s="181"/>
    </row>
    <row r="6" spans="1:9" ht="15.75" x14ac:dyDescent="0.25">
      <c r="A6" s="126" t="str">
        <f>'RECAP #9468.00'!B6</f>
        <v>Project Manager - Oliver S</v>
      </c>
      <c r="B6" s="126"/>
      <c r="C6" s="188"/>
      <c r="D6" s="189" t="s">
        <v>48</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c r="B9" s="196"/>
      <c r="C9" s="197"/>
      <c r="D9" s="199"/>
      <c r="E9" s="199">
        <f>D9</f>
        <v>0</v>
      </c>
      <c r="F9" s="200"/>
      <c r="G9" s="200"/>
      <c r="H9" s="200">
        <f>E9</f>
        <v>0</v>
      </c>
      <c r="I9" s="137"/>
    </row>
    <row r="10" spans="1:9" x14ac:dyDescent="0.25">
      <c r="A10" s="195"/>
      <c r="B10" s="201"/>
      <c r="C10" s="197"/>
      <c r="D10" s="199"/>
      <c r="E10" s="199">
        <f t="shared" ref="E10:E21" si="0">E9+D10</f>
        <v>0</v>
      </c>
      <c r="F10" s="203"/>
      <c r="G10" s="200">
        <f t="shared" ref="G10:G21" si="1">G9+F10</f>
        <v>0</v>
      </c>
      <c r="H10" s="200">
        <f t="shared" ref="H10:H21" si="2">H9-F10+D10</f>
        <v>0</v>
      </c>
      <c r="I10" s="137"/>
    </row>
    <row r="11" spans="1:9" x14ac:dyDescent="0.25">
      <c r="A11" s="195"/>
      <c r="B11" s="196"/>
      <c r="C11" s="197"/>
      <c r="D11" s="199"/>
      <c r="E11" s="199">
        <f t="shared" si="0"/>
        <v>0</v>
      </c>
      <c r="F11" s="203"/>
      <c r="G11" s="200">
        <f t="shared" si="1"/>
        <v>0</v>
      </c>
      <c r="H11" s="200">
        <f t="shared" si="2"/>
        <v>0</v>
      </c>
      <c r="I11" s="137"/>
    </row>
    <row r="12" spans="1:9" x14ac:dyDescent="0.25">
      <c r="A12" s="195"/>
      <c r="B12" s="196"/>
      <c r="C12" s="197"/>
      <c r="D12" s="199"/>
      <c r="E12" s="199">
        <f t="shared" si="0"/>
        <v>0</v>
      </c>
      <c r="F12" s="203"/>
      <c r="G12" s="200">
        <f t="shared" si="1"/>
        <v>0</v>
      </c>
      <c r="H12" s="200">
        <f t="shared" si="2"/>
        <v>0</v>
      </c>
      <c r="I12" s="137"/>
    </row>
    <row r="13" spans="1:9" x14ac:dyDescent="0.25">
      <c r="A13" s="195"/>
      <c r="B13" s="196"/>
      <c r="C13" s="197"/>
      <c r="D13" s="199"/>
      <c r="E13" s="199">
        <f t="shared" si="0"/>
        <v>0</v>
      </c>
      <c r="F13" s="203"/>
      <c r="G13" s="200">
        <f t="shared" si="1"/>
        <v>0</v>
      </c>
      <c r="H13" s="200">
        <f t="shared" si="2"/>
        <v>0</v>
      </c>
      <c r="I13" s="137"/>
    </row>
    <row r="14" spans="1:9" x14ac:dyDescent="0.25">
      <c r="A14" s="195"/>
      <c r="B14" s="196"/>
      <c r="C14" s="197"/>
      <c r="D14" s="199"/>
      <c r="E14" s="199">
        <f t="shared" si="0"/>
        <v>0</v>
      </c>
      <c r="F14" s="200"/>
      <c r="G14" s="200">
        <f t="shared" si="1"/>
        <v>0</v>
      </c>
      <c r="H14" s="200">
        <f t="shared" si="2"/>
        <v>0</v>
      </c>
      <c r="I14" s="137"/>
    </row>
    <row r="15" spans="1:9" x14ac:dyDescent="0.25">
      <c r="A15" s="195"/>
      <c r="B15" s="196"/>
      <c r="C15" s="197"/>
      <c r="D15" s="199"/>
      <c r="E15" s="199">
        <f t="shared" si="0"/>
        <v>0</v>
      </c>
      <c r="F15" s="203"/>
      <c r="G15" s="200">
        <f t="shared" si="1"/>
        <v>0</v>
      </c>
      <c r="H15" s="200">
        <f t="shared" si="2"/>
        <v>0</v>
      </c>
      <c r="I15" s="137"/>
    </row>
    <row r="16" spans="1:9" x14ac:dyDescent="0.25">
      <c r="A16" s="195"/>
      <c r="B16" s="196"/>
      <c r="C16" s="197"/>
      <c r="D16" s="199"/>
      <c r="E16" s="199">
        <f t="shared" si="0"/>
        <v>0</v>
      </c>
      <c r="F16" s="203"/>
      <c r="G16" s="200">
        <f t="shared" si="1"/>
        <v>0</v>
      </c>
      <c r="H16" s="200">
        <f t="shared" si="2"/>
        <v>0</v>
      </c>
      <c r="I16" s="137"/>
    </row>
    <row r="17" spans="1:9" x14ac:dyDescent="0.25">
      <c r="A17" s="195"/>
      <c r="B17" s="196"/>
      <c r="C17" s="197"/>
      <c r="D17" s="199"/>
      <c r="E17" s="199">
        <f t="shared" si="0"/>
        <v>0</v>
      </c>
      <c r="F17" s="203"/>
      <c r="G17" s="200">
        <f t="shared" si="1"/>
        <v>0</v>
      </c>
      <c r="H17" s="200">
        <f t="shared" si="2"/>
        <v>0</v>
      </c>
      <c r="I17" s="137"/>
    </row>
    <row r="18" spans="1:9" x14ac:dyDescent="0.25">
      <c r="A18" s="195"/>
      <c r="B18" s="196"/>
      <c r="C18" s="197"/>
      <c r="D18" s="199"/>
      <c r="E18" s="199">
        <f t="shared" si="0"/>
        <v>0</v>
      </c>
      <c r="F18" s="203"/>
      <c r="G18" s="200">
        <f t="shared" si="1"/>
        <v>0</v>
      </c>
      <c r="H18" s="200">
        <f t="shared" si="2"/>
        <v>0</v>
      </c>
      <c r="I18" s="137"/>
    </row>
    <row r="19" spans="1:9" x14ac:dyDescent="0.25">
      <c r="A19" s="195"/>
      <c r="B19" s="196"/>
      <c r="C19" s="197"/>
      <c r="D19" s="199"/>
      <c r="E19" s="199">
        <f t="shared" si="0"/>
        <v>0</v>
      </c>
      <c r="F19" s="200"/>
      <c r="G19" s="200">
        <f t="shared" si="1"/>
        <v>0</v>
      </c>
      <c r="H19" s="200">
        <f t="shared" si="2"/>
        <v>0</v>
      </c>
      <c r="I19" s="137"/>
    </row>
    <row r="20" spans="1:9" x14ac:dyDescent="0.25">
      <c r="A20" s="195"/>
      <c r="B20" s="196"/>
      <c r="C20" s="197"/>
      <c r="D20" s="199"/>
      <c r="E20" s="199">
        <f t="shared" si="0"/>
        <v>0</v>
      </c>
      <c r="F20" s="200"/>
      <c r="G20" s="200">
        <f t="shared" si="1"/>
        <v>0</v>
      </c>
      <c r="H20" s="200">
        <f t="shared" si="2"/>
        <v>0</v>
      </c>
      <c r="I20" s="137"/>
    </row>
    <row r="21" spans="1:9" x14ac:dyDescent="0.25">
      <c r="A21" s="195"/>
      <c r="B21" s="196"/>
      <c r="C21" s="204"/>
      <c r="D21" s="199"/>
      <c r="E21" s="199">
        <f t="shared" si="0"/>
        <v>0</v>
      </c>
      <c r="F21" s="200"/>
      <c r="G21" s="200">
        <f t="shared" si="1"/>
        <v>0</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0</v>
      </c>
      <c r="E23" s="208"/>
      <c r="F23" s="208">
        <f>SUM(F9:F22)</f>
        <v>0</v>
      </c>
      <c r="G23" s="208"/>
      <c r="H23" s="208">
        <f>D23-F23</f>
        <v>0</v>
      </c>
      <c r="I23" s="137"/>
    </row>
    <row r="24" spans="1:9" ht="15" customHeight="1" thickTop="1" x14ac:dyDescent="0.25"/>
  </sheetData>
  <conditionalFormatting sqref="I9:I23">
    <cfRule type="cellIs" dxfId="8"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51">
    <tabColor rgb="FF0070C0"/>
    <pageSetUpPr fitToPage="1"/>
  </sheetPr>
  <dimension ref="A1:J24"/>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#9468.00'!B1</f>
        <v>IUC CC IUC Building Window Shade System Replacement</v>
      </c>
      <c r="B1" s="109"/>
      <c r="C1" s="109"/>
      <c r="D1" s="179"/>
      <c r="E1" s="179"/>
      <c r="F1" s="179"/>
      <c r="G1" s="180"/>
      <c r="H1" s="180"/>
      <c r="I1" s="181"/>
      <c r="J1" s="181"/>
    </row>
    <row r="2" spans="1:10" ht="15.75" x14ac:dyDescent="0.25">
      <c r="A2" s="126" t="str">
        <f>'RECAP #9468.00'!B2</f>
        <v>Project # 9468.00</v>
      </c>
      <c r="B2" s="182"/>
      <c r="C2" s="182"/>
      <c r="D2" s="179"/>
      <c r="E2" s="179"/>
      <c r="F2" s="179"/>
      <c r="G2" s="180"/>
      <c r="H2" s="180"/>
      <c r="I2" s="181"/>
      <c r="J2" s="181"/>
    </row>
    <row r="3" spans="1:10" ht="15.75" x14ac:dyDescent="0.25">
      <c r="A3" s="183" t="str">
        <f>'RECAP #9468.00'!B3</f>
        <v>Program code 946800</v>
      </c>
      <c r="B3" s="182"/>
      <c r="C3" s="182"/>
      <c r="D3" s="179"/>
      <c r="E3" s="184" t="str">
        <f>'RECAP #9468.00'!E3</f>
        <v>Major Program 4A01</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#9468.00'!B6</f>
        <v>Project Manager - Oliver S</v>
      </c>
      <c r="B6" s="126"/>
      <c r="C6" s="126"/>
      <c r="D6" s="188"/>
      <c r="E6" s="132" t="s">
        <v>476</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x14ac:dyDescent="0.25">
      <c r="A9" s="328"/>
      <c r="B9" s="196"/>
      <c r="C9" s="196"/>
      <c r="D9" s="205"/>
      <c r="E9" s="198"/>
      <c r="F9" s="199">
        <f>E9</f>
        <v>0</v>
      </c>
      <c r="G9" s="200"/>
      <c r="H9" s="200"/>
      <c r="I9" s="200">
        <f>F9</f>
        <v>0</v>
      </c>
      <c r="J9" s="137"/>
    </row>
    <row r="10" spans="1:10" x14ac:dyDescent="0.25">
      <c r="A10" s="292"/>
      <c r="B10" s="196"/>
      <c r="C10" s="196"/>
      <c r="D10" s="205"/>
      <c r="E10" s="199"/>
      <c r="F10" s="199">
        <f t="shared" ref="F10:F21" si="0">F9+E10</f>
        <v>0</v>
      </c>
      <c r="G10" s="203"/>
      <c r="H10" s="200">
        <f t="shared" ref="H10:H21" si="1">H9+G10</f>
        <v>0</v>
      </c>
      <c r="I10" s="200">
        <f t="shared" ref="I10:I21" si="2">I9-G10+E10</f>
        <v>0</v>
      </c>
      <c r="J10" s="137"/>
    </row>
    <row r="11" spans="1:10" x14ac:dyDescent="0.25">
      <c r="A11" s="292"/>
      <c r="B11" s="196"/>
      <c r="C11" s="196"/>
      <c r="D11" s="205"/>
      <c r="E11" s="199"/>
      <c r="F11" s="199">
        <f t="shared" si="0"/>
        <v>0</v>
      </c>
      <c r="G11" s="203"/>
      <c r="H11" s="200">
        <f t="shared" si="1"/>
        <v>0</v>
      </c>
      <c r="I11" s="200">
        <f t="shared" si="2"/>
        <v>0</v>
      </c>
      <c r="J11" s="137"/>
    </row>
    <row r="12" spans="1:10" x14ac:dyDescent="0.25">
      <c r="A12" s="292"/>
      <c r="B12" s="196"/>
      <c r="C12" s="196"/>
      <c r="D12" s="205"/>
      <c r="E12" s="199"/>
      <c r="F12" s="199">
        <f t="shared" si="0"/>
        <v>0</v>
      </c>
      <c r="G12" s="203"/>
      <c r="H12" s="200">
        <f t="shared" si="1"/>
        <v>0</v>
      </c>
      <c r="I12" s="200">
        <f t="shared" si="2"/>
        <v>0</v>
      </c>
      <c r="J12" s="137"/>
    </row>
    <row r="13" spans="1:10" x14ac:dyDescent="0.25">
      <c r="A13" s="292"/>
      <c r="B13" s="196"/>
      <c r="C13" s="196"/>
      <c r="D13" s="205"/>
      <c r="E13" s="199"/>
      <c r="F13" s="199">
        <f t="shared" si="0"/>
        <v>0</v>
      </c>
      <c r="G13" s="203"/>
      <c r="H13" s="200">
        <f t="shared" si="1"/>
        <v>0</v>
      </c>
      <c r="I13" s="200">
        <f t="shared" si="2"/>
        <v>0</v>
      </c>
      <c r="J13" s="137"/>
    </row>
    <row r="14" spans="1:10" x14ac:dyDescent="0.25">
      <c r="A14" s="292"/>
      <c r="B14" s="196"/>
      <c r="C14" s="196"/>
      <c r="D14" s="205"/>
      <c r="E14" s="199"/>
      <c r="F14" s="199">
        <f t="shared" si="0"/>
        <v>0</v>
      </c>
      <c r="G14" s="200"/>
      <c r="H14" s="200">
        <f t="shared" si="1"/>
        <v>0</v>
      </c>
      <c r="I14" s="200">
        <f t="shared" si="2"/>
        <v>0</v>
      </c>
      <c r="J14" s="137"/>
    </row>
    <row r="15" spans="1:10" x14ac:dyDescent="0.25">
      <c r="A15" s="292"/>
      <c r="B15" s="196"/>
      <c r="C15" s="196"/>
      <c r="D15" s="205"/>
      <c r="E15" s="199"/>
      <c r="F15" s="199">
        <f t="shared" si="0"/>
        <v>0</v>
      </c>
      <c r="G15" s="203"/>
      <c r="H15" s="200">
        <f t="shared" si="1"/>
        <v>0</v>
      </c>
      <c r="I15" s="200">
        <f t="shared" si="2"/>
        <v>0</v>
      </c>
      <c r="J15" s="137"/>
    </row>
    <row r="16" spans="1:10" x14ac:dyDescent="0.25">
      <c r="A16" s="292"/>
      <c r="B16" s="196"/>
      <c r="C16" s="196"/>
      <c r="D16" s="205"/>
      <c r="E16" s="199"/>
      <c r="F16" s="199">
        <f t="shared" si="0"/>
        <v>0</v>
      </c>
      <c r="G16" s="203"/>
      <c r="H16" s="200">
        <f t="shared" si="1"/>
        <v>0</v>
      </c>
      <c r="I16" s="200">
        <f t="shared" si="2"/>
        <v>0</v>
      </c>
      <c r="J16" s="137"/>
    </row>
    <row r="17" spans="1:10" x14ac:dyDescent="0.25">
      <c r="A17" s="292"/>
      <c r="B17" s="196"/>
      <c r="C17" s="196"/>
      <c r="D17" s="205"/>
      <c r="E17" s="199"/>
      <c r="F17" s="199">
        <f t="shared" si="0"/>
        <v>0</v>
      </c>
      <c r="G17" s="203"/>
      <c r="H17" s="200">
        <f t="shared" si="1"/>
        <v>0</v>
      </c>
      <c r="I17" s="200">
        <f t="shared" si="2"/>
        <v>0</v>
      </c>
      <c r="J17" s="137"/>
    </row>
    <row r="18" spans="1:10" x14ac:dyDescent="0.25">
      <c r="A18" s="292"/>
      <c r="B18" s="196"/>
      <c r="C18" s="196"/>
      <c r="D18" s="205"/>
      <c r="E18" s="199"/>
      <c r="F18" s="199">
        <f t="shared" si="0"/>
        <v>0</v>
      </c>
      <c r="G18" s="203"/>
      <c r="H18" s="200">
        <f t="shared" si="1"/>
        <v>0</v>
      </c>
      <c r="I18" s="200">
        <f t="shared" si="2"/>
        <v>0</v>
      </c>
      <c r="J18" s="137"/>
    </row>
    <row r="19" spans="1:10" x14ac:dyDescent="0.25">
      <c r="A19" s="292"/>
      <c r="B19" s="196"/>
      <c r="C19" s="196"/>
      <c r="D19" s="205"/>
      <c r="E19" s="199"/>
      <c r="F19" s="199">
        <f t="shared" si="0"/>
        <v>0</v>
      </c>
      <c r="G19" s="200"/>
      <c r="H19" s="200">
        <f t="shared" si="1"/>
        <v>0</v>
      </c>
      <c r="I19" s="200">
        <f t="shared" si="2"/>
        <v>0</v>
      </c>
      <c r="J19" s="137"/>
    </row>
    <row r="20" spans="1:10" x14ac:dyDescent="0.25">
      <c r="A20" s="292"/>
      <c r="B20" s="196"/>
      <c r="C20" s="196"/>
      <c r="D20" s="205"/>
      <c r="E20" s="199"/>
      <c r="F20" s="199">
        <f t="shared" si="0"/>
        <v>0</v>
      </c>
      <c r="G20" s="200"/>
      <c r="H20" s="200">
        <f t="shared" si="1"/>
        <v>0</v>
      </c>
      <c r="I20" s="200">
        <f t="shared" si="2"/>
        <v>0</v>
      </c>
      <c r="J20" s="137"/>
    </row>
    <row r="21" spans="1:10" x14ac:dyDescent="0.25">
      <c r="A21" s="292"/>
      <c r="B21" s="196"/>
      <c r="C21" s="196"/>
      <c r="D21" s="137"/>
      <c r="E21" s="199"/>
      <c r="F21" s="199">
        <f t="shared" si="0"/>
        <v>0</v>
      </c>
      <c r="G21" s="200"/>
      <c r="H21" s="200">
        <f t="shared" si="1"/>
        <v>0</v>
      </c>
      <c r="I21" s="200">
        <f t="shared" si="2"/>
        <v>0</v>
      </c>
      <c r="J21" s="137"/>
    </row>
    <row r="22" spans="1:10" x14ac:dyDescent="0.25">
      <c r="A22" s="292"/>
      <c r="B22" s="197"/>
      <c r="C22" s="197"/>
      <c r="D22" s="205"/>
      <c r="E22" s="200"/>
      <c r="F22" s="200"/>
      <c r="G22" s="200"/>
      <c r="H22" s="200"/>
      <c r="I22" s="200"/>
      <c r="J22" s="137"/>
    </row>
    <row r="23" spans="1:10" ht="15.75" thickBot="1" x14ac:dyDescent="0.3">
      <c r="A23" s="292"/>
      <c r="B23" s="206"/>
      <c r="C23" s="206"/>
      <c r="D23" s="207" t="s">
        <v>54</v>
      </c>
      <c r="E23" s="208">
        <f>SUM(E9:E22)</f>
        <v>0</v>
      </c>
      <c r="F23" s="208"/>
      <c r="G23" s="208">
        <f>SUM(G9:G22)</f>
        <v>0</v>
      </c>
      <c r="H23" s="208"/>
      <c r="I23" s="208">
        <f>E23-G23</f>
        <v>0</v>
      </c>
      <c r="J23" s="137"/>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52">
    <tabColor indexed="3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09" t="str">
        <f>'RECAP #9468.00'!B1</f>
        <v>IUC CC IUC Building Window Shade System Replacement</v>
      </c>
      <c r="B1" s="109"/>
      <c r="C1" s="109"/>
      <c r="D1" s="109"/>
      <c r="E1" s="179"/>
      <c r="F1" s="179"/>
      <c r="G1" s="179"/>
      <c r="H1" s="180"/>
    </row>
    <row r="2" spans="1:8" ht="15.75" x14ac:dyDescent="0.25">
      <c r="A2" s="126" t="str">
        <f>'RECAP #9468.00'!B2</f>
        <v>Project # 9468.00</v>
      </c>
      <c r="B2" s="182"/>
      <c r="C2" s="182"/>
      <c r="D2" s="182"/>
      <c r="E2" s="179"/>
      <c r="F2" s="179"/>
      <c r="G2" s="179"/>
      <c r="H2" s="180"/>
    </row>
    <row r="3" spans="1:8" ht="15.75" x14ac:dyDescent="0.25">
      <c r="A3" s="183" t="str">
        <f>'RECAP #9468.00'!B3</f>
        <v>Program code 946800</v>
      </c>
      <c r="B3" s="182"/>
      <c r="C3" s="182"/>
      <c r="D3" s="182"/>
      <c r="E3" s="184" t="str">
        <f>'RECAP #9468.00'!E3</f>
        <v>Major Program 4A01</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#9468.00'!B6</f>
        <v>Project Manager - Oliver S</v>
      </c>
      <c r="B6" s="126"/>
      <c r="C6" s="126"/>
      <c r="D6" s="126"/>
      <c r="E6" s="184" t="s">
        <v>468</v>
      </c>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x14ac:dyDescent="0.25">
      <c r="A9" s="137"/>
      <c r="B9" s="316"/>
      <c r="C9" s="317"/>
      <c r="D9" s="204"/>
      <c r="E9" s="195"/>
      <c r="F9" s="318"/>
      <c r="G9" s="211"/>
      <c r="H9" s="211">
        <f>G9</f>
        <v>0</v>
      </c>
    </row>
    <row r="10" spans="1:8" x14ac:dyDescent="0.25">
      <c r="A10" s="195"/>
      <c r="B10" s="316"/>
      <c r="C10" s="317"/>
      <c r="D10" s="204"/>
      <c r="E10" s="137"/>
      <c r="F10" s="319"/>
      <c r="G10" s="211"/>
      <c r="H10" s="211">
        <f>H9+G10</f>
        <v>0</v>
      </c>
    </row>
    <row r="11" spans="1:8" x14ac:dyDescent="0.25">
      <c r="A11" s="195"/>
      <c r="B11" s="316"/>
      <c r="C11" s="317"/>
      <c r="D11" s="204"/>
      <c r="E11" s="137"/>
      <c r="F11" s="319"/>
      <c r="G11" s="211"/>
      <c r="H11" s="211">
        <f t="shared" ref="H11:H20" si="0">H10+G11</f>
        <v>0</v>
      </c>
    </row>
    <row r="12" spans="1:8" x14ac:dyDescent="0.25">
      <c r="A12" s="195" t="s">
        <v>3</v>
      </c>
      <c r="B12" s="316" t="s">
        <v>3</v>
      </c>
      <c r="C12" s="317"/>
      <c r="D12" s="204"/>
      <c r="E12" s="137" t="s">
        <v>3</v>
      </c>
      <c r="F12" s="319"/>
      <c r="G12" s="211"/>
      <c r="H12" s="211">
        <f t="shared" si="0"/>
        <v>0</v>
      </c>
    </row>
    <row r="13" spans="1:8" x14ac:dyDescent="0.25">
      <c r="A13" s="195" t="s">
        <v>3</v>
      </c>
      <c r="B13" s="316" t="s">
        <v>3</v>
      </c>
      <c r="C13" s="317"/>
      <c r="D13" s="204"/>
      <c r="E13" s="137" t="s">
        <v>3</v>
      </c>
      <c r="F13" s="319"/>
      <c r="G13" s="211"/>
      <c r="H13" s="211">
        <f t="shared" si="0"/>
        <v>0</v>
      </c>
    </row>
    <row r="14" spans="1:8" x14ac:dyDescent="0.25">
      <c r="A14" s="195"/>
      <c r="B14" s="316"/>
      <c r="C14" s="317"/>
      <c r="D14" s="204"/>
      <c r="E14" s="137"/>
      <c r="F14" s="319"/>
      <c r="G14" s="211"/>
      <c r="H14" s="211">
        <f t="shared" si="0"/>
        <v>0</v>
      </c>
    </row>
    <row r="15" spans="1:8" x14ac:dyDescent="0.25">
      <c r="A15" s="195"/>
      <c r="B15" s="316"/>
      <c r="C15" s="317"/>
      <c r="D15" s="204"/>
      <c r="E15" s="132"/>
      <c r="F15" s="319"/>
      <c r="G15" s="211"/>
      <c r="H15" s="211">
        <f t="shared" si="0"/>
        <v>0</v>
      </c>
    </row>
    <row r="16" spans="1:8" x14ac:dyDescent="0.25">
      <c r="A16" s="195"/>
      <c r="B16" s="316"/>
      <c r="C16" s="317"/>
      <c r="D16" s="204"/>
      <c r="E16" s="137"/>
      <c r="F16" s="319"/>
      <c r="G16" s="211"/>
      <c r="H16" s="211">
        <f t="shared" si="0"/>
        <v>0</v>
      </c>
    </row>
    <row r="17" spans="1:8" x14ac:dyDescent="0.25">
      <c r="A17" s="195"/>
      <c r="B17" s="316"/>
      <c r="C17" s="317"/>
      <c r="D17" s="204"/>
      <c r="E17" s="137"/>
      <c r="F17" s="319"/>
      <c r="G17" s="211"/>
      <c r="H17" s="211">
        <f t="shared" si="0"/>
        <v>0</v>
      </c>
    </row>
    <row r="18" spans="1:8" x14ac:dyDescent="0.25">
      <c r="A18" s="195"/>
      <c r="B18" s="316"/>
      <c r="C18" s="317"/>
      <c r="D18" s="204"/>
      <c r="E18" s="137"/>
      <c r="F18" s="319"/>
      <c r="G18" s="211"/>
      <c r="H18" s="211">
        <f t="shared" si="0"/>
        <v>0</v>
      </c>
    </row>
    <row r="19" spans="1:8" x14ac:dyDescent="0.25">
      <c r="A19" s="195"/>
      <c r="B19" s="316"/>
      <c r="C19" s="317"/>
      <c r="D19" s="204"/>
      <c r="E19" s="137"/>
      <c r="F19" s="319"/>
      <c r="G19" s="211"/>
      <c r="H19" s="211">
        <f t="shared" si="0"/>
        <v>0</v>
      </c>
    </row>
    <row r="20" spans="1:8" x14ac:dyDescent="0.25">
      <c r="A20" s="195"/>
      <c r="B20" s="316"/>
      <c r="C20" s="317"/>
      <c r="D20" s="204"/>
      <c r="E20" s="137"/>
      <c r="F20" s="319"/>
      <c r="G20" s="211"/>
      <c r="H20" s="211">
        <f t="shared" si="0"/>
        <v>0</v>
      </c>
    </row>
    <row r="21" spans="1:8" x14ac:dyDescent="0.25">
      <c r="A21" s="195"/>
      <c r="B21" s="320"/>
      <c r="C21" s="317"/>
      <c r="D21" s="204"/>
      <c r="E21" s="137"/>
      <c r="F21" s="211"/>
      <c r="G21" s="137"/>
      <c r="H21" s="211"/>
    </row>
    <row r="22" spans="1:8" ht="15.75" thickBot="1" x14ac:dyDescent="0.3">
      <c r="A22" s="321"/>
      <c r="B22" s="322"/>
      <c r="C22" s="323"/>
      <c r="D22" s="324"/>
      <c r="E22" s="325" t="s">
        <v>54</v>
      </c>
      <c r="F22" s="326"/>
      <c r="G22" s="208">
        <f>SUM(G9:G21)</f>
        <v>0</v>
      </c>
      <c r="H22" s="32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53">
    <tabColor rgb="FF0070C0"/>
    <pageSetUpPr fitToPage="1"/>
  </sheetPr>
  <dimension ref="A1:G17"/>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487</v>
      </c>
      <c r="C1" s="109"/>
      <c r="D1" s="179"/>
      <c r="E1" s="179"/>
      <c r="F1" s="179"/>
      <c r="G1" s="179"/>
    </row>
    <row r="2" spans="1:7" ht="15.75" x14ac:dyDescent="0.25">
      <c r="A2" s="212"/>
      <c r="B2" s="126" t="s">
        <v>488</v>
      </c>
      <c r="C2" s="182"/>
      <c r="D2" s="179"/>
      <c r="E2" s="179"/>
      <c r="F2" s="179"/>
      <c r="G2" s="179"/>
    </row>
    <row r="3" spans="1:7" ht="15.75" x14ac:dyDescent="0.25">
      <c r="A3" s="212"/>
      <c r="B3" s="183" t="s">
        <v>489</v>
      </c>
      <c r="C3" s="182"/>
      <c r="D3" s="179"/>
      <c r="E3" s="184" t="s">
        <v>401</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490</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'#9470.00 Funds Rec''d'!H24</f>
        <v>8629.61</v>
      </c>
      <c r="D8" s="258"/>
      <c r="E8" s="258"/>
      <c r="F8" s="258"/>
      <c r="G8" s="259"/>
    </row>
    <row r="9" spans="1:7" x14ac:dyDescent="0.25">
      <c r="A9" s="212"/>
      <c r="B9" s="182"/>
      <c r="C9" s="260"/>
      <c r="D9" s="261"/>
      <c r="E9" s="261"/>
      <c r="F9" s="261"/>
      <c r="G9" s="259"/>
    </row>
    <row r="10" spans="1:7" x14ac:dyDescent="0.25">
      <c r="A10" s="212" t="s">
        <v>170</v>
      </c>
      <c r="B10" s="182" t="s">
        <v>525</v>
      </c>
      <c r="C10" s="260"/>
      <c r="D10" s="258">
        <f>'#9470.00 Horizon Architecture'!D23</f>
        <v>6810</v>
      </c>
      <c r="E10" s="258">
        <f>'#9470.00 Horizon Architecture'!F23</f>
        <v>6810</v>
      </c>
      <c r="F10" s="258">
        <f>'#9470.00 Horizon Architecture'!H23</f>
        <v>0</v>
      </c>
      <c r="G10" s="259"/>
    </row>
    <row r="11" spans="1:7" x14ac:dyDescent="0.25">
      <c r="A11" s="212" t="s">
        <v>170</v>
      </c>
      <c r="B11" s="182" t="s">
        <v>41</v>
      </c>
      <c r="C11" s="260"/>
      <c r="D11" s="258">
        <f>'#9470.00 PM TIME'!E23</f>
        <v>1819.6100000000001</v>
      </c>
      <c r="E11" s="258">
        <f>'#9470.00 PM TIME'!G23</f>
        <v>1819.61</v>
      </c>
      <c r="F11" s="258">
        <f>'#9470.00 PM TIME'!I23</f>
        <v>0</v>
      </c>
      <c r="G11" s="259"/>
    </row>
    <row r="12" spans="1:7" x14ac:dyDescent="0.25">
      <c r="A12" s="212" t="s">
        <v>170</v>
      </c>
      <c r="B12" s="182" t="s">
        <v>42</v>
      </c>
      <c r="C12" s="261"/>
      <c r="D12" s="262">
        <f>'#9470.00 Misc'!G22</f>
        <v>0</v>
      </c>
      <c r="E12" s="262">
        <f>'#9470.00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43</v>
      </c>
      <c r="C14" s="265">
        <f>SUM(C8:C13)</f>
        <v>8629.61</v>
      </c>
      <c r="D14" s="265">
        <f>SUM(D8:D13)</f>
        <v>8629.61</v>
      </c>
      <c r="E14" s="265">
        <f>SUM(E8:E13)</f>
        <v>8629.61</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847</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54">
    <tabColor rgb="FF0070C0"/>
    <pageSetUpPr fitToPage="1"/>
  </sheetPr>
  <dimension ref="A1:H25"/>
  <sheetViews>
    <sheetView tabSelected="1" zoomScaleNormal="100" workbookViewId="0">
      <selection activeCell="C38" sqref="C38"/>
    </sheetView>
  </sheetViews>
  <sheetFormatPr defaultColWidth="9.140625" defaultRowHeight="15" customHeight="1" x14ac:dyDescent="0.25"/>
  <cols>
    <col min="1" max="1" width="15.5703125" customWidth="1"/>
    <col min="2" max="2" width="20.5703125" customWidth="1"/>
    <col min="3" max="3" width="12.42578125" bestFit="1" customWidth="1"/>
    <col min="4" max="4" width="30.140625" customWidth="1"/>
    <col min="5" max="5" width="25.42578125" customWidth="1"/>
    <col min="6" max="6" width="10.42578125" bestFit="1" customWidth="1"/>
    <col min="7" max="8" width="12.42578125" bestFit="1" customWidth="1"/>
    <col min="9" max="11" width="9.140625" customWidth="1"/>
  </cols>
  <sheetData>
    <row r="1" spans="1:8" x14ac:dyDescent="0.25">
      <c r="A1" s="267" t="str">
        <f>'RECAP #9470.00'!B1</f>
        <v>DOC 6JD IC Hope-Stratton Retaining Wall Repairs</v>
      </c>
      <c r="B1" s="268"/>
      <c r="C1" s="269"/>
      <c r="D1" s="270"/>
      <c r="E1" s="270"/>
      <c r="F1" s="268"/>
      <c r="G1" s="268"/>
      <c r="H1" s="268"/>
    </row>
    <row r="2" spans="1:8" x14ac:dyDescent="0.25">
      <c r="A2" s="271" t="str">
        <f>'RECAP #9470.00'!B2</f>
        <v>Project # 9470.00</v>
      </c>
      <c r="B2" s="268"/>
      <c r="C2" s="272" t="s">
        <v>3</v>
      </c>
      <c r="D2" s="273"/>
      <c r="E2" s="273"/>
      <c r="F2" s="268"/>
      <c r="G2" s="268"/>
      <c r="H2" s="268"/>
    </row>
    <row r="3" spans="1:8" x14ac:dyDescent="0.25">
      <c r="A3" s="274" t="str">
        <f>'RECAP #9470.00'!B3</f>
        <v>Program code 947000</v>
      </c>
      <c r="B3" s="268"/>
      <c r="C3" s="272" t="s">
        <v>3</v>
      </c>
      <c r="D3" s="275" t="str">
        <f>'RECAP #9470.00'!E3</f>
        <v>Major Program 4E01</v>
      </c>
      <c r="E3" s="270"/>
      <c r="F3" s="268"/>
      <c r="G3" s="268"/>
      <c r="H3" s="268"/>
    </row>
    <row r="4" spans="1:8" ht="15.75" x14ac:dyDescent="0.25">
      <c r="A4" s="109" t="s">
        <v>44</v>
      </c>
      <c r="B4" s="276" t="s">
        <v>3</v>
      </c>
      <c r="C4" s="270"/>
      <c r="D4" s="270"/>
      <c r="E4" s="270"/>
      <c r="F4" s="268"/>
      <c r="G4" s="268"/>
      <c r="H4" s="268"/>
    </row>
    <row r="5" spans="1:8" x14ac:dyDescent="0.25">
      <c r="A5" s="263" t="s">
        <v>65</v>
      </c>
      <c r="B5" s="277"/>
      <c r="C5" s="278"/>
      <c r="D5" s="279"/>
      <c r="E5" s="268"/>
      <c r="F5" s="268"/>
      <c r="G5" s="268"/>
      <c r="H5" s="268"/>
    </row>
    <row r="6" spans="1:8" x14ac:dyDescent="0.25">
      <c r="A6" s="280" t="str">
        <f>'RECAP #9470.00'!B6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ht="12.75" customHeight="1" x14ac:dyDescent="0.25">
      <c r="A9" s="351"/>
      <c r="B9" s="352"/>
      <c r="C9" s="353"/>
      <c r="D9" s="354" t="s">
        <v>73</v>
      </c>
      <c r="E9" s="354" t="s">
        <v>498</v>
      </c>
      <c r="F9" s="355">
        <v>45695</v>
      </c>
      <c r="G9" s="356">
        <v>10000</v>
      </c>
      <c r="H9" s="356">
        <v>10000</v>
      </c>
    </row>
    <row r="10" spans="1:8" ht="12.75" customHeight="1" x14ac:dyDescent="0.25">
      <c r="A10" s="351"/>
      <c r="B10" s="351"/>
      <c r="C10" s="357"/>
      <c r="D10" s="354" t="s">
        <v>848</v>
      </c>
      <c r="E10" s="351" t="s">
        <v>849</v>
      </c>
      <c r="F10" s="351">
        <v>45821</v>
      </c>
      <c r="G10" s="358">
        <v>-1370.39</v>
      </c>
      <c r="H10" s="358">
        <v>-1370.39</v>
      </c>
    </row>
    <row r="11" spans="1:8" ht="12.75" customHeight="1" x14ac:dyDescent="0.25">
      <c r="A11" s="359"/>
      <c r="B11" s="357"/>
      <c r="C11" s="360"/>
      <c r="D11" s="354"/>
      <c r="E11" s="361"/>
      <c r="F11" s="351"/>
      <c r="G11" s="362"/>
      <c r="H11" s="363"/>
    </row>
    <row r="12" spans="1:8" ht="12.75" customHeight="1" x14ac:dyDescent="0.25">
      <c r="A12" s="359"/>
      <c r="B12" s="357"/>
      <c r="C12" s="364"/>
      <c r="D12" s="354"/>
      <c r="E12" s="361"/>
      <c r="F12" s="351"/>
      <c r="G12" s="362"/>
      <c r="H12" s="363"/>
    </row>
    <row r="13" spans="1:8" ht="12.75" customHeight="1" x14ac:dyDescent="0.25">
      <c r="A13" s="365"/>
      <c r="B13" s="366"/>
      <c r="C13" s="364"/>
      <c r="D13" s="354"/>
      <c r="E13" s="361"/>
      <c r="F13" s="351"/>
      <c r="G13" s="367"/>
      <c r="H13" s="363"/>
    </row>
    <row r="14" spans="1:8" ht="12.75" customHeight="1" x14ac:dyDescent="0.25">
      <c r="A14" s="359"/>
      <c r="B14" s="368"/>
      <c r="C14" s="364"/>
      <c r="D14" s="357"/>
      <c r="E14" s="368"/>
      <c r="F14" s="351"/>
      <c r="G14" s="362"/>
      <c r="H14" s="363"/>
    </row>
    <row r="15" spans="1:8" ht="12.75" customHeight="1" x14ac:dyDescent="0.25">
      <c r="A15" s="359"/>
      <c r="B15" s="368"/>
      <c r="C15" s="369"/>
      <c r="D15" s="370"/>
      <c r="E15" s="366"/>
      <c r="F15" s="371"/>
      <c r="G15" s="372"/>
      <c r="H15" s="372"/>
    </row>
    <row r="16" spans="1:8" ht="12.75" customHeight="1" x14ac:dyDescent="0.25">
      <c r="A16" s="359"/>
      <c r="B16" s="368"/>
      <c r="C16" s="369" t="s">
        <v>3</v>
      </c>
      <c r="D16" s="370"/>
      <c r="E16" s="368"/>
      <c r="F16" s="371"/>
      <c r="G16" s="372"/>
      <c r="H16" s="372"/>
    </row>
    <row r="17" spans="1:8" ht="12.75" customHeight="1" x14ac:dyDescent="0.25">
      <c r="A17" s="359"/>
      <c r="B17" s="368"/>
      <c r="C17" s="369"/>
      <c r="D17" s="370"/>
      <c r="E17" s="368"/>
      <c r="F17" s="371"/>
      <c r="G17" s="373"/>
      <c r="H17" s="369"/>
    </row>
    <row r="18" spans="1:8" ht="12.75" customHeight="1" x14ac:dyDescent="0.25">
      <c r="A18" s="359"/>
      <c r="B18" s="374"/>
      <c r="C18" s="369"/>
      <c r="D18" s="370"/>
      <c r="E18" s="368"/>
      <c r="F18" s="371"/>
      <c r="G18" s="372"/>
      <c r="H18" s="372"/>
    </row>
    <row r="19" spans="1:8" ht="12.75" customHeight="1" x14ac:dyDescent="0.25">
      <c r="A19" s="359"/>
      <c r="B19" s="368"/>
      <c r="C19" s="369"/>
      <c r="D19" s="370"/>
      <c r="E19" s="368"/>
      <c r="F19" s="371"/>
      <c r="G19" s="372"/>
      <c r="H19" s="372"/>
    </row>
    <row r="20" spans="1:8" ht="12.75" customHeight="1" x14ac:dyDescent="0.25">
      <c r="A20" s="359"/>
      <c r="B20" s="368"/>
      <c r="C20" s="369"/>
      <c r="D20" s="370"/>
      <c r="E20" s="368"/>
      <c r="F20" s="371"/>
      <c r="G20" s="373"/>
      <c r="H20" s="369"/>
    </row>
    <row r="21" spans="1:8" ht="12.75" customHeight="1" x14ac:dyDescent="0.25">
      <c r="A21" s="359"/>
      <c r="B21" s="368"/>
      <c r="C21" s="369"/>
      <c r="D21" s="370"/>
      <c r="E21" s="368"/>
      <c r="F21" s="371"/>
      <c r="G21" s="373"/>
      <c r="H21" s="369"/>
    </row>
    <row r="22" spans="1:8" ht="12.75" customHeight="1" x14ac:dyDescent="0.25">
      <c r="A22" s="359"/>
      <c r="B22" s="368"/>
      <c r="C22" s="369"/>
      <c r="D22" s="370"/>
      <c r="E22" s="368"/>
      <c r="F22" s="359"/>
      <c r="G22" s="372"/>
      <c r="H22" s="372"/>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8629.61</v>
      </c>
      <c r="H24" s="208">
        <f>SUM(H9:H23)</f>
        <v>8629.61</v>
      </c>
    </row>
    <row r="25" spans="1:8"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55">
    <tabColor rgb="FF0070C0"/>
    <pageSetUpPr fitToPage="1"/>
  </sheetPr>
  <dimension ref="A1:I29"/>
  <sheetViews>
    <sheetView tabSelected="1" topLeftCell="A4"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09" t="str">
        <f>'RECAP #9470.00'!B1</f>
        <v>DOC 6JD IC Hope-Stratton Retaining Wall Repairs</v>
      </c>
      <c r="B1" s="109"/>
      <c r="C1" s="179"/>
      <c r="D1" s="179"/>
      <c r="E1" s="179"/>
      <c r="F1" s="180"/>
      <c r="G1" s="180"/>
      <c r="H1" s="181"/>
      <c r="I1" s="181"/>
    </row>
    <row r="2" spans="1:9" ht="15.75" x14ac:dyDescent="0.25">
      <c r="A2" s="126" t="str">
        <f>'RECAP #9470.00'!B2</f>
        <v>Project # 9470.00</v>
      </c>
      <c r="B2" s="182"/>
      <c r="C2" s="179"/>
      <c r="D2" s="179"/>
      <c r="E2" s="179"/>
      <c r="F2" s="180"/>
      <c r="G2" s="180"/>
      <c r="H2" s="181"/>
      <c r="I2" s="181"/>
    </row>
    <row r="3" spans="1:9" ht="15.75" x14ac:dyDescent="0.25">
      <c r="A3" s="183" t="str">
        <f>'RECAP #9470.00'!B3</f>
        <v>Program code 947000</v>
      </c>
      <c r="B3" s="182"/>
      <c r="C3" s="179"/>
      <c r="D3" s="184" t="str">
        <f>'RECAP #9470.00'!E3</f>
        <v>Major Program 4E01</v>
      </c>
      <c r="E3" s="179"/>
      <c r="F3" s="180"/>
      <c r="G3" s="180"/>
      <c r="H3" s="181"/>
      <c r="I3" s="181"/>
    </row>
    <row r="4" spans="1:9" ht="15.75" x14ac:dyDescent="0.25">
      <c r="A4" s="109" t="s">
        <v>525</v>
      </c>
      <c r="B4" s="126"/>
      <c r="C4" s="181"/>
      <c r="D4" s="185" t="s">
        <v>526</v>
      </c>
      <c r="E4" s="180"/>
      <c r="F4" s="180"/>
      <c r="G4" s="180"/>
      <c r="H4" s="181"/>
      <c r="I4" s="181"/>
    </row>
    <row r="5" spans="1:9" ht="15.75" x14ac:dyDescent="0.25">
      <c r="A5" s="186" t="s">
        <v>143</v>
      </c>
      <c r="B5" s="181"/>
      <c r="C5" s="187"/>
      <c r="D5" s="132" t="s">
        <v>253</v>
      </c>
      <c r="E5" s="137"/>
      <c r="F5" s="180"/>
      <c r="G5" s="180"/>
      <c r="H5" s="181"/>
      <c r="I5" s="181"/>
    </row>
    <row r="6" spans="1:9" ht="15.75" x14ac:dyDescent="0.25">
      <c r="A6" s="126" t="str">
        <f>'RECAP #9470.00'!B6</f>
        <v>Project Manager -  Jennifer K.</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527</v>
      </c>
      <c r="B9" s="196">
        <v>45706</v>
      </c>
      <c r="C9" s="197" t="s">
        <v>107</v>
      </c>
      <c r="D9" s="198">
        <v>6810</v>
      </c>
      <c r="E9" s="199">
        <f>D9</f>
        <v>6810</v>
      </c>
      <c r="F9" s="200"/>
      <c r="G9" s="200"/>
      <c r="H9" s="200">
        <f>E9</f>
        <v>6810</v>
      </c>
      <c r="I9" s="137"/>
    </row>
    <row r="10" spans="1:9" x14ac:dyDescent="0.25">
      <c r="A10" s="195" t="s">
        <v>665</v>
      </c>
      <c r="B10" s="201">
        <v>45758</v>
      </c>
      <c r="C10" s="197" t="s">
        <v>666</v>
      </c>
      <c r="D10" s="199"/>
      <c r="E10" s="199">
        <f t="shared" ref="E10:E21" si="0">E9+D10</f>
        <v>6810</v>
      </c>
      <c r="F10" s="203">
        <v>2780</v>
      </c>
      <c r="G10" s="200">
        <f t="shared" ref="G10:G21" si="1">G9+F10</f>
        <v>2780</v>
      </c>
      <c r="H10" s="200">
        <f t="shared" ref="H10:H21" si="2">H9-F10+D10</f>
        <v>4030</v>
      </c>
      <c r="I10" s="137"/>
    </row>
    <row r="11" spans="1:9" x14ac:dyDescent="0.25">
      <c r="A11" s="195" t="s">
        <v>754</v>
      </c>
      <c r="B11" s="196">
        <v>45793</v>
      </c>
      <c r="C11" s="197" t="s">
        <v>755</v>
      </c>
      <c r="D11" s="199"/>
      <c r="E11" s="199">
        <f t="shared" si="0"/>
        <v>6810</v>
      </c>
      <c r="F11" s="203">
        <v>4030</v>
      </c>
      <c r="G11" s="200">
        <f t="shared" si="1"/>
        <v>6810</v>
      </c>
      <c r="H11" s="200">
        <f t="shared" si="2"/>
        <v>0</v>
      </c>
      <c r="I11" s="137"/>
    </row>
    <row r="12" spans="1:9" x14ac:dyDescent="0.25">
      <c r="A12" s="195"/>
      <c r="B12" s="196"/>
      <c r="C12" s="197"/>
      <c r="D12" s="199"/>
      <c r="E12" s="199">
        <f t="shared" si="0"/>
        <v>6810</v>
      </c>
      <c r="F12" s="203"/>
      <c r="G12" s="200">
        <f t="shared" si="1"/>
        <v>6810</v>
      </c>
      <c r="H12" s="200">
        <f t="shared" si="2"/>
        <v>0</v>
      </c>
      <c r="I12" s="137"/>
    </row>
    <row r="13" spans="1:9" x14ac:dyDescent="0.25">
      <c r="A13" s="195"/>
      <c r="B13" s="196"/>
      <c r="C13" s="197"/>
      <c r="D13" s="199"/>
      <c r="E13" s="199">
        <f t="shared" si="0"/>
        <v>6810</v>
      </c>
      <c r="F13" s="203"/>
      <c r="G13" s="200">
        <f t="shared" si="1"/>
        <v>6810</v>
      </c>
      <c r="H13" s="200">
        <f t="shared" si="2"/>
        <v>0</v>
      </c>
      <c r="I13" s="137"/>
    </row>
    <row r="14" spans="1:9" x14ac:dyDescent="0.25">
      <c r="A14" s="195"/>
      <c r="B14" s="196"/>
      <c r="C14" s="197"/>
      <c r="D14" s="199"/>
      <c r="E14" s="199">
        <f t="shared" si="0"/>
        <v>6810</v>
      </c>
      <c r="F14" s="200"/>
      <c r="G14" s="200">
        <f t="shared" si="1"/>
        <v>6810</v>
      </c>
      <c r="H14" s="200">
        <f t="shared" si="2"/>
        <v>0</v>
      </c>
      <c r="I14" s="137"/>
    </row>
    <row r="15" spans="1:9" x14ac:dyDescent="0.25">
      <c r="A15" s="195"/>
      <c r="B15" s="196"/>
      <c r="C15" s="197"/>
      <c r="D15" s="199"/>
      <c r="E15" s="199">
        <f t="shared" si="0"/>
        <v>6810</v>
      </c>
      <c r="F15" s="203"/>
      <c r="G15" s="200">
        <f t="shared" si="1"/>
        <v>6810</v>
      </c>
      <c r="H15" s="200">
        <f t="shared" si="2"/>
        <v>0</v>
      </c>
      <c r="I15" s="137"/>
    </row>
    <row r="16" spans="1:9" x14ac:dyDescent="0.25">
      <c r="A16" s="195"/>
      <c r="B16" s="196"/>
      <c r="C16" s="197"/>
      <c r="D16" s="199"/>
      <c r="E16" s="199">
        <f t="shared" si="0"/>
        <v>6810</v>
      </c>
      <c r="F16" s="203"/>
      <c r="G16" s="200">
        <f t="shared" si="1"/>
        <v>6810</v>
      </c>
      <c r="H16" s="200">
        <f t="shared" si="2"/>
        <v>0</v>
      </c>
      <c r="I16" s="137"/>
    </row>
    <row r="17" spans="1:9" x14ac:dyDescent="0.25">
      <c r="A17" s="195"/>
      <c r="B17" s="196"/>
      <c r="C17" s="197"/>
      <c r="D17" s="199"/>
      <c r="E17" s="199">
        <f t="shared" si="0"/>
        <v>6810</v>
      </c>
      <c r="F17" s="203"/>
      <c r="G17" s="200">
        <f t="shared" si="1"/>
        <v>6810</v>
      </c>
      <c r="H17" s="200">
        <f t="shared" si="2"/>
        <v>0</v>
      </c>
      <c r="I17" s="137"/>
    </row>
    <row r="18" spans="1:9" x14ac:dyDescent="0.25">
      <c r="A18" s="195"/>
      <c r="B18" s="196"/>
      <c r="C18" s="197"/>
      <c r="D18" s="199"/>
      <c r="E18" s="199">
        <f t="shared" si="0"/>
        <v>6810</v>
      </c>
      <c r="F18" s="203"/>
      <c r="G18" s="200">
        <f t="shared" si="1"/>
        <v>6810</v>
      </c>
      <c r="H18" s="200">
        <f t="shared" si="2"/>
        <v>0</v>
      </c>
      <c r="I18" s="137"/>
    </row>
    <row r="19" spans="1:9" x14ac:dyDescent="0.25">
      <c r="A19" s="195"/>
      <c r="B19" s="196"/>
      <c r="C19" s="197"/>
      <c r="D19" s="199"/>
      <c r="E19" s="199">
        <f t="shared" si="0"/>
        <v>6810</v>
      </c>
      <c r="F19" s="200"/>
      <c r="G19" s="200">
        <f t="shared" si="1"/>
        <v>6810</v>
      </c>
      <c r="H19" s="200">
        <f t="shared" si="2"/>
        <v>0</v>
      </c>
      <c r="I19" s="137"/>
    </row>
    <row r="20" spans="1:9" x14ac:dyDescent="0.25">
      <c r="A20" s="195"/>
      <c r="B20" s="196"/>
      <c r="C20" s="197"/>
      <c r="D20" s="199"/>
      <c r="E20" s="199">
        <f t="shared" si="0"/>
        <v>6810</v>
      </c>
      <c r="F20" s="200"/>
      <c r="G20" s="200">
        <f t="shared" si="1"/>
        <v>6810</v>
      </c>
      <c r="H20" s="200">
        <f t="shared" si="2"/>
        <v>0</v>
      </c>
      <c r="I20" s="137"/>
    </row>
    <row r="21" spans="1:9" x14ac:dyDescent="0.25">
      <c r="A21" s="195"/>
      <c r="B21" s="196"/>
      <c r="C21" s="204"/>
      <c r="D21" s="199"/>
      <c r="E21" s="199">
        <f t="shared" si="0"/>
        <v>6810</v>
      </c>
      <c r="F21" s="200"/>
      <c r="G21" s="200">
        <f t="shared" si="1"/>
        <v>6810</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6810</v>
      </c>
      <c r="E23" s="208"/>
      <c r="F23" s="208">
        <f>SUM(F9:F22)</f>
        <v>6810</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299</v>
      </c>
      <c r="D26" s="200">
        <v>2780</v>
      </c>
      <c r="E26" s="200"/>
      <c r="F26" s="200">
        <f>2780</f>
        <v>2780</v>
      </c>
      <c r="G26" s="200"/>
      <c r="H26" s="200">
        <f>D26-F26</f>
        <v>0</v>
      </c>
      <c r="I26" s="137"/>
    </row>
    <row r="27" spans="1:9" x14ac:dyDescent="0.25">
      <c r="A27" s="195"/>
      <c r="B27" s="197"/>
      <c r="C27" s="205" t="s">
        <v>528</v>
      </c>
      <c r="D27" s="200">
        <v>4030</v>
      </c>
      <c r="E27" s="200"/>
      <c r="F27" s="200">
        <f>4030</f>
        <v>4030</v>
      </c>
      <c r="G27" s="200"/>
      <c r="H27" s="200">
        <f>D27-F27</f>
        <v>0</v>
      </c>
      <c r="I27" s="137"/>
    </row>
    <row r="28" spans="1:9" ht="15.75" thickBot="1" x14ac:dyDescent="0.3">
      <c r="A28" s="195"/>
      <c r="B28" s="197"/>
      <c r="C28" s="324" t="s">
        <v>555</v>
      </c>
      <c r="D28" s="208">
        <f>SUM(D26:D27)</f>
        <v>6810</v>
      </c>
      <c r="E28" s="210"/>
      <c r="F28" s="208">
        <f>SUM(F26:F27)</f>
        <v>6810</v>
      </c>
      <c r="G28" s="210"/>
      <c r="H28" s="208">
        <f>SUM(H26:H27)</f>
        <v>0</v>
      </c>
      <c r="I28" s="137"/>
    </row>
    <row r="29"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56">
    <tabColor rgb="FF0070C0"/>
    <pageSetUpPr fitToPage="1"/>
  </sheetPr>
  <dimension ref="A1:J24"/>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4.42578125" customWidth="1"/>
    <col min="5" max="5" width="21.7109375" customWidth="1"/>
    <col min="6" max="6" width="13.5703125" customWidth="1"/>
    <col min="7" max="7" width="12.42578125" customWidth="1"/>
    <col min="8" max="8" width="10.5703125" customWidth="1"/>
    <col min="9" max="9" width="14.28515625" customWidth="1"/>
  </cols>
  <sheetData>
    <row r="1" spans="1:10" ht="15.75" x14ac:dyDescent="0.25">
      <c r="A1" s="109" t="str">
        <f>'RECAP #9470.00'!B1</f>
        <v>DOC 6JD IC Hope-Stratton Retaining Wall Repairs</v>
      </c>
      <c r="B1" s="109"/>
      <c r="C1" s="109"/>
      <c r="D1" s="179"/>
      <c r="E1" s="179"/>
      <c r="F1" s="179"/>
      <c r="G1" s="180"/>
      <c r="H1" s="180"/>
      <c r="I1" s="181"/>
      <c r="J1" s="181"/>
    </row>
    <row r="2" spans="1:10" ht="15.75" x14ac:dyDescent="0.25">
      <c r="A2" s="126" t="str">
        <f>'RECAP #9470.00'!B2</f>
        <v>Project # 9470.00</v>
      </c>
      <c r="B2" s="182"/>
      <c r="C2" s="182"/>
      <c r="D2" s="179"/>
      <c r="E2" s="179"/>
      <c r="F2" s="179"/>
      <c r="G2" s="180"/>
      <c r="H2" s="180"/>
      <c r="I2" s="181"/>
      <c r="J2" s="181"/>
    </row>
    <row r="3" spans="1:10" ht="15.75" x14ac:dyDescent="0.25">
      <c r="A3" s="183" t="str">
        <f>'RECAP #9470.00'!B3</f>
        <v>Program code 947000</v>
      </c>
      <c r="B3" s="182"/>
      <c r="C3" s="182"/>
      <c r="D3" s="179"/>
      <c r="E3" s="184" t="str">
        <f>'RECAP #9470.00'!E3</f>
        <v>Major Program 4E01</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#9470.00'!B6</f>
        <v>Project Manager -  Jennifer K.</v>
      </c>
      <c r="B6" s="126"/>
      <c r="C6" s="126"/>
      <c r="D6" s="188"/>
      <c r="E6" s="132" t="s">
        <v>501</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x14ac:dyDescent="0.25">
      <c r="A9" s="328"/>
      <c r="B9" s="196"/>
      <c r="C9" s="196"/>
      <c r="D9" s="205" t="s">
        <v>92</v>
      </c>
      <c r="E9" s="198">
        <f>2000-180.39</f>
        <v>1819.6100000000001</v>
      </c>
      <c r="F9" s="199">
        <f>E9</f>
        <v>1819.6100000000001</v>
      </c>
      <c r="G9" s="200"/>
      <c r="H9" s="200"/>
      <c r="I9" s="200">
        <f>F9</f>
        <v>1819.6100000000001</v>
      </c>
      <c r="J9" s="137"/>
    </row>
    <row r="10" spans="1:10" x14ac:dyDescent="0.25">
      <c r="A10" s="336" t="s">
        <v>559</v>
      </c>
      <c r="B10" s="196">
        <v>45723</v>
      </c>
      <c r="C10" s="338">
        <v>2507</v>
      </c>
      <c r="D10" s="292" t="s">
        <v>560</v>
      </c>
      <c r="E10" s="199"/>
      <c r="F10" s="199">
        <f t="shared" ref="F10:F21" si="0">F9+E10</f>
        <v>1819.6100000000001</v>
      </c>
      <c r="G10" s="203">
        <f>44.87+164.08</f>
        <v>208.95000000000002</v>
      </c>
      <c r="H10" s="200">
        <f t="shared" ref="H10:H21" si="1">H9+G10</f>
        <v>208.95000000000002</v>
      </c>
      <c r="I10" s="200">
        <f t="shared" ref="I10:I21" si="2">I9-G10+E10</f>
        <v>1610.66</v>
      </c>
      <c r="J10" s="137"/>
    </row>
    <row r="11" spans="1:10" x14ac:dyDescent="0.25">
      <c r="A11" s="336" t="s">
        <v>559</v>
      </c>
      <c r="B11" s="196">
        <v>45723</v>
      </c>
      <c r="C11" s="338">
        <v>9500</v>
      </c>
      <c r="D11" s="292" t="s">
        <v>561</v>
      </c>
      <c r="E11" s="199"/>
      <c r="F11" s="199">
        <f t="shared" si="0"/>
        <v>1819.6100000000001</v>
      </c>
      <c r="G11" s="203">
        <f>63+840.4</f>
        <v>903.4</v>
      </c>
      <c r="H11" s="200">
        <f t="shared" si="1"/>
        <v>1112.3499999999999</v>
      </c>
      <c r="I11" s="200">
        <f t="shared" si="2"/>
        <v>707.2600000000001</v>
      </c>
      <c r="J11" s="137"/>
    </row>
    <row r="12" spans="1:10" x14ac:dyDescent="0.25">
      <c r="A12" s="336" t="s">
        <v>656</v>
      </c>
      <c r="B12" s="196">
        <v>45756</v>
      </c>
      <c r="C12" s="338">
        <v>2507</v>
      </c>
      <c r="D12" s="292" t="s">
        <v>657</v>
      </c>
      <c r="E12" s="199"/>
      <c r="F12" s="199">
        <f t="shared" si="0"/>
        <v>1819.6100000000001</v>
      </c>
      <c r="G12" s="203">
        <f>2.96+4.21</f>
        <v>7.17</v>
      </c>
      <c r="H12" s="200">
        <f t="shared" si="1"/>
        <v>1119.52</v>
      </c>
      <c r="I12" s="200">
        <f t="shared" si="2"/>
        <v>700.09000000000015</v>
      </c>
      <c r="J12" s="137"/>
    </row>
    <row r="13" spans="1:10" x14ac:dyDescent="0.25">
      <c r="A13" s="336" t="s">
        <v>656</v>
      </c>
      <c r="B13" s="196">
        <v>45756</v>
      </c>
      <c r="C13" s="338">
        <v>9500</v>
      </c>
      <c r="D13" s="292" t="s">
        <v>658</v>
      </c>
      <c r="E13" s="199"/>
      <c r="F13" s="199">
        <f t="shared" si="0"/>
        <v>1819.6100000000001</v>
      </c>
      <c r="G13" s="203">
        <f>4+48.4</f>
        <v>52.4</v>
      </c>
      <c r="H13" s="200">
        <f t="shared" si="1"/>
        <v>1171.92</v>
      </c>
      <c r="I13" s="200">
        <f t="shared" si="2"/>
        <v>647.69000000000017</v>
      </c>
      <c r="J13" s="137"/>
    </row>
    <row r="14" spans="1:10" x14ac:dyDescent="0.25">
      <c r="A14" s="336" t="s">
        <v>727</v>
      </c>
      <c r="B14" s="196">
        <v>45786</v>
      </c>
      <c r="C14" s="338">
        <v>2507</v>
      </c>
      <c r="D14" s="292" t="s">
        <v>729</v>
      </c>
      <c r="E14" s="199"/>
      <c r="F14" s="199">
        <f t="shared" si="0"/>
        <v>1819.6100000000001</v>
      </c>
      <c r="G14" s="203">
        <f>12.28+16.83</f>
        <v>29.11</v>
      </c>
      <c r="H14" s="200">
        <f t="shared" si="1"/>
        <v>1201.03</v>
      </c>
      <c r="I14" s="200">
        <f t="shared" si="2"/>
        <v>618.58000000000015</v>
      </c>
      <c r="J14" s="137"/>
    </row>
    <row r="15" spans="1:10" x14ac:dyDescent="0.25">
      <c r="A15" s="336" t="s">
        <v>727</v>
      </c>
      <c r="B15" s="196">
        <v>45786</v>
      </c>
      <c r="C15" s="338">
        <v>9500</v>
      </c>
      <c r="D15" s="292" t="s">
        <v>730</v>
      </c>
      <c r="E15" s="199"/>
      <c r="F15" s="199">
        <f t="shared" si="0"/>
        <v>1819.6100000000001</v>
      </c>
      <c r="G15" s="203">
        <f>15.5+184.8</f>
        <v>200.3</v>
      </c>
      <c r="H15" s="200">
        <f t="shared" si="1"/>
        <v>1401.33</v>
      </c>
      <c r="I15" s="200">
        <f t="shared" si="2"/>
        <v>418.28000000000014</v>
      </c>
      <c r="J15" s="137"/>
    </row>
    <row r="16" spans="1:10" x14ac:dyDescent="0.25">
      <c r="A16" s="336" t="s">
        <v>822</v>
      </c>
      <c r="B16" s="196">
        <v>45817</v>
      </c>
      <c r="C16" s="338">
        <v>2507</v>
      </c>
      <c r="D16" s="292" t="s">
        <v>823</v>
      </c>
      <c r="E16" s="199"/>
      <c r="F16" s="199">
        <f t="shared" si="0"/>
        <v>1819.6100000000001</v>
      </c>
      <c r="G16" s="203">
        <f>26.24+21.04</f>
        <v>47.28</v>
      </c>
      <c r="H16" s="200">
        <f t="shared" si="1"/>
        <v>1448.61</v>
      </c>
      <c r="I16" s="200">
        <f t="shared" si="2"/>
        <v>371.00000000000011</v>
      </c>
      <c r="J16" s="137"/>
    </row>
    <row r="17" spans="1:10" x14ac:dyDescent="0.25">
      <c r="A17" s="336" t="s">
        <v>822</v>
      </c>
      <c r="B17" s="196">
        <v>45817</v>
      </c>
      <c r="C17" s="338">
        <v>9500</v>
      </c>
      <c r="D17" s="292" t="s">
        <v>824</v>
      </c>
      <c r="E17" s="199"/>
      <c r="F17" s="199">
        <f t="shared" si="0"/>
        <v>1819.6100000000001</v>
      </c>
      <c r="G17" s="203">
        <f>30+341</f>
        <v>371</v>
      </c>
      <c r="H17" s="200">
        <f t="shared" si="1"/>
        <v>1819.61</v>
      </c>
      <c r="I17" s="200">
        <f t="shared" si="2"/>
        <v>1.1368683772161603E-13</v>
      </c>
      <c r="J17" s="137"/>
    </row>
    <row r="18" spans="1:10" x14ac:dyDescent="0.25">
      <c r="A18" s="292"/>
      <c r="B18" s="196"/>
      <c r="C18" s="196"/>
      <c r="D18" s="205"/>
      <c r="E18" s="199"/>
      <c r="F18" s="199">
        <f t="shared" si="0"/>
        <v>1819.6100000000001</v>
      </c>
      <c r="G18" s="203"/>
      <c r="H18" s="200">
        <f t="shared" si="1"/>
        <v>1819.61</v>
      </c>
      <c r="I18" s="200">
        <f t="shared" si="2"/>
        <v>1.1368683772161603E-13</v>
      </c>
      <c r="J18" s="137"/>
    </row>
    <row r="19" spans="1:10" x14ac:dyDescent="0.25">
      <c r="A19" s="292"/>
      <c r="B19" s="196"/>
      <c r="C19" s="196"/>
      <c r="D19" s="205"/>
      <c r="E19" s="199"/>
      <c r="F19" s="199">
        <f t="shared" si="0"/>
        <v>1819.6100000000001</v>
      </c>
      <c r="G19" s="200"/>
      <c r="H19" s="200">
        <f t="shared" si="1"/>
        <v>1819.61</v>
      </c>
      <c r="I19" s="200">
        <f t="shared" si="2"/>
        <v>1.1368683772161603E-13</v>
      </c>
      <c r="J19" s="137"/>
    </row>
    <row r="20" spans="1:10" x14ac:dyDescent="0.25">
      <c r="A20" s="292"/>
      <c r="B20" s="196"/>
      <c r="C20" s="196"/>
      <c r="D20" s="205"/>
      <c r="E20" s="199"/>
      <c r="F20" s="199">
        <f t="shared" si="0"/>
        <v>1819.6100000000001</v>
      </c>
      <c r="G20" s="200"/>
      <c r="H20" s="200">
        <f t="shared" si="1"/>
        <v>1819.61</v>
      </c>
      <c r="I20" s="200">
        <f t="shared" si="2"/>
        <v>1.1368683772161603E-13</v>
      </c>
      <c r="J20" s="137"/>
    </row>
    <row r="21" spans="1:10" x14ac:dyDescent="0.25">
      <c r="A21" s="292"/>
      <c r="B21" s="196"/>
      <c r="C21" s="196"/>
      <c r="D21" s="137"/>
      <c r="E21" s="199"/>
      <c r="F21" s="199">
        <f t="shared" si="0"/>
        <v>1819.6100000000001</v>
      </c>
      <c r="G21" s="200"/>
      <c r="H21" s="200">
        <f t="shared" si="1"/>
        <v>1819.61</v>
      </c>
      <c r="I21" s="200">
        <f t="shared" si="2"/>
        <v>1.1368683772161603E-13</v>
      </c>
      <c r="J21" s="137"/>
    </row>
    <row r="22" spans="1:10" x14ac:dyDescent="0.25">
      <c r="A22" s="292"/>
      <c r="B22" s="197"/>
      <c r="C22" s="197"/>
      <c r="D22" s="205"/>
      <c r="E22" s="200"/>
      <c r="F22" s="200"/>
      <c r="G22" s="200"/>
      <c r="H22" s="200"/>
      <c r="I22" s="200"/>
      <c r="J22" s="137"/>
    </row>
    <row r="23" spans="1:10" ht="15.75" thickBot="1" x14ac:dyDescent="0.3">
      <c r="A23" s="292"/>
      <c r="B23" s="206"/>
      <c r="C23" s="206"/>
      <c r="D23" s="207" t="s">
        <v>54</v>
      </c>
      <c r="E23" s="208">
        <f>SUM(E9:E22)</f>
        <v>1819.6100000000001</v>
      </c>
      <c r="F23" s="208"/>
      <c r="G23" s="208">
        <f>SUM(G9:G22)</f>
        <v>1819.61</v>
      </c>
      <c r="H23" s="208"/>
      <c r="I23" s="208">
        <f>E23-G23</f>
        <v>0</v>
      </c>
      <c r="J23" s="137"/>
    </row>
    <row r="24"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57">
    <tabColor indexed="3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#9470.00'!B1</f>
        <v>DOC 6JD IC Hope-Stratton Retaining Wall Repairs</v>
      </c>
      <c r="B1" s="79"/>
      <c r="C1" s="79"/>
      <c r="D1" s="79"/>
      <c r="E1" s="6"/>
      <c r="F1" s="6"/>
      <c r="G1" s="6"/>
      <c r="H1" s="124"/>
    </row>
    <row r="2" spans="1:8" ht="15.75" x14ac:dyDescent="0.25">
      <c r="A2" s="81" t="str">
        <f>'RECAP #9470.00'!B2</f>
        <v>Project # 9470.00</v>
      </c>
      <c r="B2" s="80"/>
      <c r="C2" s="80"/>
      <c r="D2" s="80"/>
      <c r="E2" s="6"/>
      <c r="F2" s="6"/>
      <c r="G2" s="6"/>
      <c r="H2" s="124"/>
    </row>
    <row r="3" spans="1:8" ht="15.75" x14ac:dyDescent="0.25">
      <c r="A3" s="82" t="str">
        <f>'RECAP #9470.00'!B3</f>
        <v>Program code 947000</v>
      </c>
      <c r="B3" s="80"/>
      <c r="C3" s="80"/>
      <c r="D3" s="80"/>
      <c r="E3" s="83" t="str">
        <f>'RECAP #9470.00'!E3</f>
        <v>Major Program 4E01</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#9470.00'!B6</f>
        <v>Project Manager -  Jennifer K.</v>
      </c>
      <c r="B6" s="86"/>
      <c r="C6" s="86"/>
      <c r="D6" s="86"/>
      <c r="E6" s="83" t="s">
        <v>529</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x14ac:dyDescent="0.25">
      <c r="A9" s="133"/>
      <c r="B9" s="224"/>
      <c r="C9" s="225"/>
      <c r="D9" s="151"/>
      <c r="E9" s="144"/>
      <c r="F9" s="226"/>
      <c r="G9" s="155"/>
      <c r="H9" s="155">
        <f>G9</f>
        <v>0</v>
      </c>
    </row>
    <row r="10" spans="1:8" x14ac:dyDescent="0.25">
      <c r="A10" s="144"/>
      <c r="B10" s="224"/>
      <c r="C10" s="225"/>
      <c r="D10" s="151"/>
      <c r="E10" s="133"/>
      <c r="F10" s="219"/>
      <c r="G10" s="155"/>
      <c r="H10" s="155">
        <f>H9+G10</f>
        <v>0</v>
      </c>
    </row>
    <row r="11" spans="1:8" x14ac:dyDescent="0.25">
      <c r="A11" s="144"/>
      <c r="B11" s="224"/>
      <c r="C11" s="225"/>
      <c r="D11" s="151"/>
      <c r="E11" s="133"/>
      <c r="F11" s="219"/>
      <c r="G11" s="155"/>
      <c r="H11" s="155">
        <f t="shared" ref="H11:H20" si="0">H10+G11</f>
        <v>0</v>
      </c>
    </row>
    <row r="12" spans="1:8" x14ac:dyDescent="0.25">
      <c r="A12" s="144" t="s">
        <v>3</v>
      </c>
      <c r="B12" s="224" t="s">
        <v>3</v>
      </c>
      <c r="C12" s="225"/>
      <c r="D12" s="151"/>
      <c r="E12" s="133" t="s">
        <v>3</v>
      </c>
      <c r="F12" s="219"/>
      <c r="G12" s="155"/>
      <c r="H12" s="155">
        <f t="shared" si="0"/>
        <v>0</v>
      </c>
    </row>
    <row r="13" spans="1:8" x14ac:dyDescent="0.25">
      <c r="A13" s="144" t="s">
        <v>3</v>
      </c>
      <c r="B13" s="224" t="s">
        <v>3</v>
      </c>
      <c r="C13" s="225"/>
      <c r="D13" s="151"/>
      <c r="E13" s="133" t="s">
        <v>3</v>
      </c>
      <c r="F13" s="219"/>
      <c r="G13" s="155"/>
      <c r="H13" s="155">
        <f t="shared" si="0"/>
        <v>0</v>
      </c>
    </row>
    <row r="14" spans="1:8" x14ac:dyDescent="0.25">
      <c r="A14" s="144"/>
      <c r="B14" s="224"/>
      <c r="C14" s="225"/>
      <c r="D14" s="151"/>
      <c r="E14" s="133"/>
      <c r="F14" s="219"/>
      <c r="G14" s="155"/>
      <c r="H14" s="155">
        <f t="shared" si="0"/>
        <v>0</v>
      </c>
    </row>
    <row r="15" spans="1:8" x14ac:dyDescent="0.25">
      <c r="A15" s="144"/>
      <c r="B15" s="224"/>
      <c r="C15" s="225"/>
      <c r="D15" s="151"/>
      <c r="E15" s="171"/>
      <c r="F15" s="219"/>
      <c r="G15" s="155"/>
      <c r="H15" s="155">
        <f t="shared" si="0"/>
        <v>0</v>
      </c>
    </row>
    <row r="16" spans="1:8" x14ac:dyDescent="0.25">
      <c r="A16" s="144"/>
      <c r="B16" s="224"/>
      <c r="C16" s="225"/>
      <c r="D16" s="151"/>
      <c r="E16" s="133"/>
      <c r="F16" s="219"/>
      <c r="G16" s="155"/>
      <c r="H16" s="155">
        <f t="shared" si="0"/>
        <v>0</v>
      </c>
    </row>
    <row r="17" spans="1:8" x14ac:dyDescent="0.25">
      <c r="A17" s="144"/>
      <c r="B17" s="224"/>
      <c r="C17" s="225"/>
      <c r="D17" s="151"/>
      <c r="E17" s="133"/>
      <c r="F17" s="219"/>
      <c r="G17" s="155"/>
      <c r="H17" s="155">
        <f t="shared" si="0"/>
        <v>0</v>
      </c>
    </row>
    <row r="18" spans="1:8" x14ac:dyDescent="0.25">
      <c r="A18" s="144"/>
      <c r="B18" s="224"/>
      <c r="C18" s="225"/>
      <c r="D18" s="151"/>
      <c r="E18" s="133"/>
      <c r="F18" s="219"/>
      <c r="G18" s="155"/>
      <c r="H18" s="155">
        <f t="shared" si="0"/>
        <v>0</v>
      </c>
    </row>
    <row r="19" spans="1:8" x14ac:dyDescent="0.25">
      <c r="A19" s="144"/>
      <c r="B19" s="224"/>
      <c r="C19" s="225"/>
      <c r="D19" s="151"/>
      <c r="E19" s="133"/>
      <c r="F19" s="219"/>
      <c r="G19" s="155"/>
      <c r="H19" s="155">
        <f t="shared" si="0"/>
        <v>0</v>
      </c>
    </row>
    <row r="20" spans="1:8" x14ac:dyDescent="0.25">
      <c r="A20" s="144"/>
      <c r="B20" s="224"/>
      <c r="C20" s="225"/>
      <c r="D20" s="151"/>
      <c r="E20" s="133"/>
      <c r="F20" s="219"/>
      <c r="G20" s="155"/>
      <c r="H20" s="155">
        <f t="shared" si="0"/>
        <v>0</v>
      </c>
    </row>
    <row r="21" spans="1:8" x14ac:dyDescent="0.25">
      <c r="A21" s="144"/>
      <c r="B21" s="227"/>
      <c r="C21" s="225"/>
      <c r="D21" s="151"/>
      <c r="E21" s="133"/>
      <c r="F21" s="155"/>
      <c r="G21" s="133"/>
      <c r="H21" s="155"/>
    </row>
    <row r="22" spans="1:8" ht="15.75" thickBot="1" x14ac:dyDescent="0.3">
      <c r="A22" s="172"/>
      <c r="B22" s="228"/>
      <c r="C22" s="229"/>
      <c r="D22" s="173"/>
      <c r="E22" s="174" t="s">
        <v>54</v>
      </c>
      <c r="F22" s="175"/>
      <c r="G22" s="123">
        <f>SUM(G9:G21)</f>
        <v>0</v>
      </c>
      <c r="H22" s="175"/>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58">
    <tabColor rgb="FF0070C0"/>
    <pageSetUpPr fitToPage="1"/>
  </sheetPr>
  <dimension ref="A1:G17"/>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610</v>
      </c>
      <c r="C1" s="109"/>
      <c r="D1" s="179"/>
      <c r="E1" s="179"/>
      <c r="F1" s="179"/>
      <c r="G1" s="179"/>
    </row>
    <row r="2" spans="1:7" ht="15.75" x14ac:dyDescent="0.25">
      <c r="A2" s="212"/>
      <c r="B2" s="126" t="s">
        <v>590</v>
      </c>
      <c r="C2" s="182"/>
      <c r="D2" s="179"/>
      <c r="E2" s="179"/>
      <c r="F2" s="179"/>
      <c r="G2" s="179"/>
    </row>
    <row r="3" spans="1:7" ht="15.75" x14ac:dyDescent="0.25">
      <c r="A3" s="212"/>
      <c r="B3" s="183" t="s">
        <v>591</v>
      </c>
      <c r="C3" s="182"/>
      <c r="D3" s="179"/>
      <c r="E3" s="184" t="s">
        <v>592</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473</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'#9472.00 Funds Rec''d'!H24</f>
        <v>0</v>
      </c>
      <c r="D8" s="258"/>
      <c r="E8" s="258"/>
      <c r="F8" s="258"/>
      <c r="G8" s="259"/>
    </row>
    <row r="9" spans="1:7" x14ac:dyDescent="0.25">
      <c r="A9" s="212"/>
      <c r="B9" s="182"/>
      <c r="C9" s="260"/>
      <c r="D9" s="261"/>
      <c r="E9" s="261"/>
      <c r="F9" s="261"/>
      <c r="G9" s="259"/>
    </row>
    <row r="10" spans="1:7" x14ac:dyDescent="0.25">
      <c r="A10" s="212"/>
      <c r="B10" s="182" t="s">
        <v>40</v>
      </c>
      <c r="C10" s="260"/>
      <c r="D10" s="258">
        <f>'#9472.00 Vendor A'!D23</f>
        <v>0</v>
      </c>
      <c r="E10" s="258">
        <f>'#9472.00 Vendor A'!F23</f>
        <v>0</v>
      </c>
      <c r="F10" s="258">
        <f>'#9472.00 Vendor A'!H23</f>
        <v>0</v>
      </c>
      <c r="G10" s="259"/>
    </row>
    <row r="11" spans="1:7" x14ac:dyDescent="0.25">
      <c r="A11" s="212"/>
      <c r="B11" s="182" t="s">
        <v>41</v>
      </c>
      <c r="C11" s="260"/>
      <c r="D11" s="258">
        <f>'#9472.00 PM TIME'!E23</f>
        <v>0</v>
      </c>
      <c r="E11" s="258">
        <f>'#9472.00 PM TIME'!G23</f>
        <v>0</v>
      </c>
      <c r="F11" s="258">
        <f>'#9472.00 PM TIME'!I23</f>
        <v>0</v>
      </c>
      <c r="G11" s="259"/>
    </row>
    <row r="12" spans="1:7" x14ac:dyDescent="0.25">
      <c r="A12" s="212"/>
      <c r="B12" s="182" t="s">
        <v>42</v>
      </c>
      <c r="C12" s="261"/>
      <c r="D12" s="262">
        <f>'#9472.00 Misc'!G22</f>
        <v>0</v>
      </c>
      <c r="E12" s="262">
        <f>'#9472.00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43</v>
      </c>
      <c r="C14" s="265">
        <f>SUM(C8:C13)</f>
        <v>0</v>
      </c>
      <c r="D14" s="265">
        <f>SUM(D8:D13)</f>
        <v>0</v>
      </c>
      <c r="E14" s="265">
        <f>SUM(E8:E13)</f>
        <v>0</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672</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G20"/>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600</v>
      </c>
      <c r="C1" s="79"/>
      <c r="D1" s="6"/>
      <c r="E1" s="6"/>
      <c r="F1" s="6"/>
      <c r="G1" s="6"/>
    </row>
    <row r="2" spans="1:7" ht="15.75" x14ac:dyDescent="0.25">
      <c r="A2" s="77"/>
      <c r="B2" s="81" t="s">
        <v>601</v>
      </c>
      <c r="C2" s="80"/>
      <c r="D2" s="6"/>
      <c r="E2" s="6"/>
      <c r="F2" s="6"/>
      <c r="G2" s="6"/>
    </row>
    <row r="3" spans="1:7" ht="15.75" x14ac:dyDescent="0.25">
      <c r="A3" s="77"/>
      <c r="B3" s="82" t="s">
        <v>602</v>
      </c>
      <c r="C3" s="80"/>
      <c r="D3" s="6"/>
      <c r="E3" s="83" t="s">
        <v>369</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603</v>
      </c>
      <c r="C6" s="87"/>
      <c r="D6" s="88" t="s">
        <v>3</v>
      </c>
      <c r="E6" s="6"/>
      <c r="F6" s="6"/>
      <c r="G6" s="6"/>
    </row>
    <row r="7" spans="1:7" ht="33" customHeight="1" thickBot="1" x14ac:dyDescent="0.3">
      <c r="A7" s="77"/>
      <c r="B7" s="89" t="s">
        <v>3</v>
      </c>
      <c r="C7" s="90" t="s">
        <v>0</v>
      </c>
      <c r="D7" s="91" t="s">
        <v>1</v>
      </c>
      <c r="E7" s="92" t="s">
        <v>2</v>
      </c>
      <c r="F7" s="93" t="s">
        <v>37</v>
      </c>
      <c r="G7" s="93" t="s">
        <v>38</v>
      </c>
    </row>
    <row r="8" spans="1:7" ht="28.35" customHeight="1" x14ac:dyDescent="0.25">
      <c r="A8" s="77"/>
      <c r="B8" s="80" t="s">
        <v>39</v>
      </c>
      <c r="C8" s="94">
        <f>'#9239.03 Funds Rec''d '!H24</f>
        <v>650000</v>
      </c>
      <c r="D8" s="95"/>
      <c r="E8" s="95"/>
      <c r="F8" s="95"/>
      <c r="G8" s="96"/>
    </row>
    <row r="9" spans="1:7" ht="12.75" customHeight="1" x14ac:dyDescent="0.25">
      <c r="A9" s="77"/>
      <c r="B9" s="80"/>
      <c r="C9" s="97"/>
      <c r="D9" s="98"/>
      <c r="E9" s="98"/>
      <c r="F9" s="98"/>
      <c r="G9" s="96"/>
    </row>
    <row r="10" spans="1:7" ht="12.75" customHeight="1" x14ac:dyDescent="0.25">
      <c r="A10" s="77"/>
      <c r="B10" s="80" t="s">
        <v>520</v>
      </c>
      <c r="C10" s="97"/>
      <c r="D10" s="95">
        <f>'#9239.03 Farnsworth Group'!D23</f>
        <v>138405</v>
      </c>
      <c r="E10" s="95">
        <f>'#9239.03 Farnsworth Group'!F23</f>
        <v>101715</v>
      </c>
      <c r="F10" s="95">
        <f>'#9239.03 Farnsworth Group'!H23</f>
        <v>36690</v>
      </c>
      <c r="G10" s="96"/>
    </row>
    <row r="11" spans="1:7" ht="12.75" customHeight="1" x14ac:dyDescent="0.25">
      <c r="A11" s="77"/>
      <c r="B11" s="80" t="s">
        <v>41</v>
      </c>
      <c r="C11" s="97"/>
      <c r="D11" s="95">
        <f>'#9239.03 PM TIME '!E38</f>
        <v>20000</v>
      </c>
      <c r="E11" s="95">
        <f>'#9239.03 PM TIME '!G38</f>
        <v>8154.4599999999991</v>
      </c>
      <c r="F11" s="95">
        <f>'#9239.03 PM TIME '!I38</f>
        <v>11845.54</v>
      </c>
      <c r="G11" s="96"/>
    </row>
    <row r="12" spans="1:7" ht="12.75" customHeight="1" x14ac:dyDescent="0.25">
      <c r="A12" s="77"/>
      <c r="B12" s="80" t="s">
        <v>42</v>
      </c>
      <c r="C12" s="98"/>
      <c r="D12" s="99">
        <f>'#9239.03 Misc '!G22</f>
        <v>0</v>
      </c>
      <c r="E12" s="99">
        <f>'#9239.03 Misc '!G22</f>
        <v>0</v>
      </c>
      <c r="F12" s="95">
        <f>D12-E12</f>
        <v>0</v>
      </c>
      <c r="G12" s="96"/>
    </row>
    <row r="13" spans="1:7" ht="12.75" customHeight="1" x14ac:dyDescent="0.25">
      <c r="A13" s="212" t="s">
        <v>170</v>
      </c>
      <c r="B13" s="80" t="s">
        <v>481</v>
      </c>
      <c r="C13" s="98"/>
      <c r="D13" s="99">
        <f>'#9239.03 Samuels Group'!D23</f>
        <v>25509.329999999998</v>
      </c>
      <c r="E13" s="99">
        <f>'#9239.03 Samuels Group'!F23</f>
        <v>25509.329999999998</v>
      </c>
      <c r="F13" s="95">
        <f>'#9239.03 Samuels Group'!H23</f>
        <v>0</v>
      </c>
      <c r="G13" s="96"/>
    </row>
    <row r="14" spans="1:7" ht="12.75" customHeight="1" x14ac:dyDescent="0.25">
      <c r="A14" s="77"/>
      <c r="B14" s="80" t="s">
        <v>1198</v>
      </c>
      <c r="C14" s="98"/>
      <c r="D14" s="99">
        <f>'#9239.03 Proctor Mechanical'!D23</f>
        <v>54303</v>
      </c>
      <c r="E14" s="99">
        <f>'#9239.03 Proctor Mechanical'!F23</f>
        <v>47918</v>
      </c>
      <c r="F14" s="95">
        <f>'#9239.03 Proctor Mechanical'!H23</f>
        <v>6385</v>
      </c>
      <c r="G14" s="96"/>
    </row>
    <row r="15" spans="1:7" ht="12.75" customHeight="1" x14ac:dyDescent="0.25">
      <c r="A15" s="77"/>
      <c r="B15" s="80" t="s">
        <v>1249</v>
      </c>
      <c r="C15" s="98"/>
      <c r="D15" s="99">
        <f>'#9239.03 Con-Struct Inc'!D22</f>
        <v>238195</v>
      </c>
      <c r="E15" s="99">
        <f>'#9239.03 Con-Struct Inc'!F22</f>
        <v>189109.31</v>
      </c>
      <c r="F15" s="95">
        <f>'#9239.03 Con-Struct Inc'!H22</f>
        <v>49085.69</v>
      </c>
      <c r="G15" s="96"/>
    </row>
    <row r="16" spans="1:7" ht="12.75" customHeight="1" x14ac:dyDescent="0.25">
      <c r="A16" s="212"/>
      <c r="B16" s="80" t="s">
        <v>1282</v>
      </c>
      <c r="C16" s="98"/>
      <c r="D16" s="99">
        <f>'#9239.03 Samuels Group (2)'!D23</f>
        <v>41769.93</v>
      </c>
      <c r="E16" s="99">
        <f>'#9239.03 Samuels Group (2)'!F23</f>
        <v>29496.799999999999</v>
      </c>
      <c r="F16" s="95">
        <f>'#9239.03 Samuels Group (2)'!H23</f>
        <v>12273.130000000001</v>
      </c>
      <c r="G16" s="96"/>
    </row>
    <row r="17" spans="1:7" ht="12.75" customHeight="1" x14ac:dyDescent="0.25">
      <c r="A17" s="77"/>
      <c r="B17" s="80" t="s">
        <v>700</v>
      </c>
      <c r="C17" s="98"/>
      <c r="D17" s="99">
        <f>'#9239.03 Terracon Consultants'!D23</f>
        <v>4330</v>
      </c>
      <c r="E17" s="99">
        <f>'#9239.03 Terracon Consultants'!F23</f>
        <v>2890</v>
      </c>
      <c r="F17" s="95">
        <f>'#9239.03 Terracon Consultants'!H23</f>
        <v>1440</v>
      </c>
      <c r="G17" s="96"/>
    </row>
    <row r="18" spans="1:7" ht="13.35" customHeight="1" x14ac:dyDescent="0.25">
      <c r="A18" s="77"/>
      <c r="B18" s="80"/>
      <c r="C18" s="98"/>
      <c r="D18" s="99"/>
      <c r="E18" s="99"/>
      <c r="F18" s="95"/>
      <c r="G18" s="96"/>
    </row>
    <row r="19" spans="1:7" ht="24" customHeight="1" thickBot="1" x14ac:dyDescent="0.3">
      <c r="A19" s="100"/>
      <c r="B19" s="101" t="s">
        <v>43</v>
      </c>
      <c r="C19" s="102">
        <f>SUM(C8:C18)</f>
        <v>650000</v>
      </c>
      <c r="D19" s="102">
        <f>SUM(D8:D18)</f>
        <v>522512.25999999995</v>
      </c>
      <c r="E19" s="102">
        <f>SUM(E8:E18)</f>
        <v>404792.89999999997</v>
      </c>
      <c r="F19" s="102">
        <f>SUM(D19-E19)</f>
        <v>117719.35999999999</v>
      </c>
      <c r="G19" s="102">
        <f>C19-D19</f>
        <v>127487.74000000005</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  0506-335-DA26&amp;C&amp;Z&amp;F
</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59">
    <tabColor indexed="30"/>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04" t="str">
        <f>'RECAP #9472.00'!B1</f>
        <v>DAS CC Hoover Level B Sprinkler Modifications</v>
      </c>
      <c r="B1" s="7"/>
      <c r="C1" s="2"/>
      <c r="D1" s="3"/>
      <c r="E1" s="3"/>
      <c r="F1" s="7"/>
      <c r="G1" s="7"/>
      <c r="H1" s="7"/>
    </row>
    <row r="2" spans="1:8" x14ac:dyDescent="0.25">
      <c r="A2" s="105" t="str">
        <f>'RECAP #9472.00'!B2</f>
        <v>Project # 9472.00</v>
      </c>
      <c r="B2" s="7"/>
      <c r="C2" s="106" t="s">
        <v>3</v>
      </c>
      <c r="D2" s="1"/>
      <c r="E2" s="1"/>
      <c r="F2" s="7"/>
      <c r="G2" s="7"/>
      <c r="H2" s="7"/>
    </row>
    <row r="3" spans="1:8" x14ac:dyDescent="0.25">
      <c r="A3" s="107" t="str">
        <f>'RECAP #9472.00'!B3</f>
        <v>Program code 947200</v>
      </c>
      <c r="B3" s="7"/>
      <c r="C3" s="106" t="s">
        <v>3</v>
      </c>
      <c r="D3" s="108" t="str">
        <f>'RECAP #9472.00'!E3</f>
        <v>Major Program   4D01</v>
      </c>
      <c r="E3" s="3"/>
      <c r="F3" s="7"/>
      <c r="G3" s="7"/>
      <c r="H3" s="7"/>
    </row>
    <row r="4" spans="1:8" ht="15.75" x14ac:dyDescent="0.25">
      <c r="A4" s="109" t="s">
        <v>44</v>
      </c>
      <c r="B4" s="110" t="s">
        <v>3</v>
      </c>
      <c r="C4" s="3"/>
      <c r="D4" s="3"/>
      <c r="E4" s="3"/>
      <c r="F4" s="7"/>
      <c r="G4" s="7"/>
      <c r="H4" s="7"/>
    </row>
    <row r="5" spans="1:8" x14ac:dyDescent="0.25">
      <c r="A5" s="100" t="s">
        <v>65</v>
      </c>
      <c r="B5" s="22"/>
      <c r="C5" s="111"/>
      <c r="D5" s="23"/>
      <c r="E5" s="7"/>
      <c r="F5" s="7"/>
      <c r="G5" s="7"/>
      <c r="H5" s="7"/>
    </row>
    <row r="6" spans="1:8" x14ac:dyDescent="0.25">
      <c r="A6" s="112" t="str">
        <f>'RECAP #9472.00'!B6</f>
        <v>Project Manager - Oliver S</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x14ac:dyDescent="0.25">
      <c r="A9" s="12"/>
      <c r="B9" s="119"/>
      <c r="C9" s="14"/>
      <c r="D9" s="15"/>
      <c r="E9" s="15"/>
      <c r="F9" s="120"/>
      <c r="G9" s="223"/>
      <c r="H9" s="216"/>
    </row>
    <row r="10" spans="1:8" ht="12.75" customHeight="1" x14ac:dyDescent="0.25">
      <c r="A10" s="12"/>
      <c r="B10" s="12"/>
      <c r="C10" s="13"/>
      <c r="D10" s="15"/>
      <c r="E10" s="12"/>
      <c r="F10" s="12"/>
      <c r="G10" s="215"/>
      <c r="H10" s="215"/>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0</v>
      </c>
      <c r="H24" s="123">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60">
    <tabColor indexed="3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#9472.00'!B1</f>
        <v>DAS CC Hoover Level B Sprinkler Modifications</v>
      </c>
      <c r="B1" s="79"/>
      <c r="C1" s="6"/>
      <c r="D1" s="6"/>
      <c r="E1" s="6"/>
      <c r="F1" s="124"/>
      <c r="G1" s="124"/>
      <c r="H1" s="125"/>
      <c r="I1" s="125"/>
    </row>
    <row r="2" spans="1:9" ht="15.75" x14ac:dyDescent="0.25">
      <c r="A2" s="81" t="str">
        <f>'RECAP #9472.00'!B2</f>
        <v>Project # 9472.00</v>
      </c>
      <c r="B2" s="80"/>
      <c r="C2" s="6"/>
      <c r="D2" s="6"/>
      <c r="E2" s="6"/>
      <c r="F2" s="124"/>
      <c r="G2" s="124"/>
      <c r="H2" s="125"/>
      <c r="I2" s="125"/>
    </row>
    <row r="3" spans="1:9" ht="15.75" x14ac:dyDescent="0.25">
      <c r="A3" s="82" t="str">
        <f>'RECAP #9472.00'!B3</f>
        <v>Program code 947200</v>
      </c>
      <c r="B3" s="80"/>
      <c r="C3" s="6"/>
      <c r="D3" s="83" t="str">
        <f>'RECAP #9472.00'!E3</f>
        <v>Major Program   4D01</v>
      </c>
      <c r="E3" s="6"/>
      <c r="F3" s="124"/>
      <c r="G3" s="124"/>
      <c r="H3" s="125"/>
      <c r="I3" s="125"/>
    </row>
    <row r="4" spans="1:9" ht="15.75" x14ac:dyDescent="0.25">
      <c r="A4" s="109" t="s">
        <v>13</v>
      </c>
      <c r="B4" s="126"/>
      <c r="C4" s="127"/>
      <c r="D4" s="128" t="s">
        <v>47</v>
      </c>
      <c r="E4" s="124"/>
      <c r="F4" s="124"/>
      <c r="G4" s="124"/>
      <c r="H4" s="125"/>
      <c r="I4" s="125"/>
    </row>
    <row r="5" spans="1:9" ht="15.75" x14ac:dyDescent="0.25">
      <c r="A5" s="129" t="s">
        <v>66</v>
      </c>
      <c r="B5" s="130"/>
      <c r="C5" s="131"/>
      <c r="D5" s="132"/>
      <c r="E5" s="133"/>
      <c r="F5" s="134"/>
      <c r="G5" s="134"/>
      <c r="H5" s="130"/>
      <c r="I5" s="125"/>
    </row>
    <row r="6" spans="1:9" ht="15.75" x14ac:dyDescent="0.25">
      <c r="A6" s="86" t="str">
        <f>'RECAP #9472.00'!B6</f>
        <v>Project Manager - Oliver S</v>
      </c>
      <c r="B6" s="86"/>
      <c r="C6" s="135"/>
      <c r="D6" s="136" t="s">
        <v>48</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x14ac:dyDescent="0.25">
      <c r="A9" s="144"/>
      <c r="B9" s="145"/>
      <c r="C9" s="146"/>
      <c r="D9" s="147"/>
      <c r="E9" s="147">
        <f>D9</f>
        <v>0</v>
      </c>
      <c r="F9" s="148"/>
      <c r="G9" s="148"/>
      <c r="H9" s="148">
        <f>E9</f>
        <v>0</v>
      </c>
      <c r="I9" s="149"/>
    </row>
    <row r="10" spans="1:9" x14ac:dyDescent="0.25">
      <c r="A10" s="144"/>
      <c r="B10" s="17"/>
      <c r="C10" s="146"/>
      <c r="D10" s="147"/>
      <c r="E10" s="147">
        <f t="shared" ref="E10:E21" si="0">E9+D10</f>
        <v>0</v>
      </c>
      <c r="F10" s="150"/>
      <c r="G10" s="148">
        <f t="shared" ref="G10:G21" si="1">G9+F10</f>
        <v>0</v>
      </c>
      <c r="H10" s="148">
        <f t="shared" ref="H10:H21" si="2">H9-F10+D10</f>
        <v>0</v>
      </c>
      <c r="I10" s="149"/>
    </row>
    <row r="11" spans="1:9" x14ac:dyDescent="0.25">
      <c r="A11" s="144"/>
      <c r="B11" s="145"/>
      <c r="C11" s="146"/>
      <c r="D11" s="147"/>
      <c r="E11" s="147">
        <f t="shared" si="0"/>
        <v>0</v>
      </c>
      <c r="F11" s="150"/>
      <c r="G11" s="148">
        <f t="shared" si="1"/>
        <v>0</v>
      </c>
      <c r="H11" s="148">
        <f t="shared" si="2"/>
        <v>0</v>
      </c>
      <c r="I11" s="149"/>
    </row>
    <row r="12" spans="1:9" x14ac:dyDescent="0.25">
      <c r="A12" s="144"/>
      <c r="B12" s="145"/>
      <c r="C12" s="146"/>
      <c r="D12" s="147"/>
      <c r="E12" s="147">
        <f t="shared" si="0"/>
        <v>0</v>
      </c>
      <c r="F12" s="150"/>
      <c r="G12" s="148">
        <f t="shared" si="1"/>
        <v>0</v>
      </c>
      <c r="H12" s="148">
        <f t="shared" si="2"/>
        <v>0</v>
      </c>
      <c r="I12" s="149"/>
    </row>
    <row r="13" spans="1:9" x14ac:dyDescent="0.25">
      <c r="A13" s="144"/>
      <c r="B13" s="145"/>
      <c r="C13" s="146"/>
      <c r="D13" s="147"/>
      <c r="E13" s="147">
        <f t="shared" si="0"/>
        <v>0</v>
      </c>
      <c r="F13" s="150"/>
      <c r="G13" s="148">
        <f t="shared" si="1"/>
        <v>0</v>
      </c>
      <c r="H13" s="148">
        <f t="shared" si="2"/>
        <v>0</v>
      </c>
      <c r="I13" s="149"/>
    </row>
    <row r="14" spans="1:9" x14ac:dyDescent="0.25">
      <c r="A14" s="144"/>
      <c r="B14" s="145"/>
      <c r="C14" s="146"/>
      <c r="D14" s="147"/>
      <c r="E14" s="147">
        <f t="shared" si="0"/>
        <v>0</v>
      </c>
      <c r="F14" s="148"/>
      <c r="G14" s="148">
        <f t="shared" si="1"/>
        <v>0</v>
      </c>
      <c r="H14" s="148">
        <f t="shared" si="2"/>
        <v>0</v>
      </c>
      <c r="I14" s="149"/>
    </row>
    <row r="15" spans="1:9" x14ac:dyDescent="0.25">
      <c r="A15" s="144"/>
      <c r="B15" s="145"/>
      <c r="C15" s="146"/>
      <c r="D15" s="147"/>
      <c r="E15" s="147">
        <f t="shared" si="0"/>
        <v>0</v>
      </c>
      <c r="F15" s="150"/>
      <c r="G15" s="148">
        <f t="shared" si="1"/>
        <v>0</v>
      </c>
      <c r="H15" s="148">
        <f t="shared" si="2"/>
        <v>0</v>
      </c>
      <c r="I15" s="149"/>
    </row>
    <row r="16" spans="1:9" x14ac:dyDescent="0.25">
      <c r="A16" s="144"/>
      <c r="B16" s="145"/>
      <c r="C16" s="146"/>
      <c r="D16" s="147"/>
      <c r="E16" s="147">
        <f t="shared" si="0"/>
        <v>0</v>
      </c>
      <c r="F16" s="150"/>
      <c r="G16" s="148">
        <f t="shared" si="1"/>
        <v>0</v>
      </c>
      <c r="H16" s="148">
        <f t="shared" si="2"/>
        <v>0</v>
      </c>
      <c r="I16" s="149"/>
    </row>
    <row r="17" spans="1:9" x14ac:dyDescent="0.25">
      <c r="A17" s="144"/>
      <c r="B17" s="145"/>
      <c r="C17" s="146"/>
      <c r="D17" s="147"/>
      <c r="E17" s="147">
        <f t="shared" si="0"/>
        <v>0</v>
      </c>
      <c r="F17" s="150"/>
      <c r="G17" s="148">
        <f t="shared" si="1"/>
        <v>0</v>
      </c>
      <c r="H17" s="148">
        <f t="shared" si="2"/>
        <v>0</v>
      </c>
      <c r="I17" s="149"/>
    </row>
    <row r="18" spans="1:9" x14ac:dyDescent="0.25">
      <c r="A18" s="144"/>
      <c r="B18" s="145"/>
      <c r="C18" s="146"/>
      <c r="D18" s="147"/>
      <c r="E18" s="147">
        <f t="shared" si="0"/>
        <v>0</v>
      </c>
      <c r="F18" s="150"/>
      <c r="G18" s="148">
        <f t="shared" si="1"/>
        <v>0</v>
      </c>
      <c r="H18" s="148">
        <f t="shared" si="2"/>
        <v>0</v>
      </c>
      <c r="I18" s="149"/>
    </row>
    <row r="19" spans="1:9" x14ac:dyDescent="0.25">
      <c r="A19" s="144"/>
      <c r="B19" s="145"/>
      <c r="C19" s="146"/>
      <c r="D19" s="147"/>
      <c r="E19" s="147">
        <f t="shared" si="0"/>
        <v>0</v>
      </c>
      <c r="F19" s="148"/>
      <c r="G19" s="148">
        <f t="shared" si="1"/>
        <v>0</v>
      </c>
      <c r="H19" s="148">
        <f t="shared" si="2"/>
        <v>0</v>
      </c>
      <c r="I19" s="149"/>
    </row>
    <row r="20" spans="1:9" x14ac:dyDescent="0.25">
      <c r="A20" s="144"/>
      <c r="B20" s="145"/>
      <c r="C20" s="146"/>
      <c r="D20" s="147"/>
      <c r="E20" s="147">
        <f t="shared" si="0"/>
        <v>0</v>
      </c>
      <c r="F20" s="148"/>
      <c r="G20" s="148">
        <f t="shared" si="1"/>
        <v>0</v>
      </c>
      <c r="H20" s="148">
        <f t="shared" si="2"/>
        <v>0</v>
      </c>
      <c r="I20" s="149"/>
    </row>
    <row r="21" spans="1:9" x14ac:dyDescent="0.25">
      <c r="A21" s="144"/>
      <c r="B21" s="145"/>
      <c r="C21" s="151"/>
      <c r="D21" s="147"/>
      <c r="E21" s="147">
        <f t="shared" si="0"/>
        <v>0</v>
      </c>
      <c r="F21" s="148"/>
      <c r="G21" s="148">
        <f t="shared" si="1"/>
        <v>0</v>
      </c>
      <c r="H21" s="148">
        <f t="shared" si="2"/>
        <v>0</v>
      </c>
      <c r="I21" s="149"/>
    </row>
    <row r="22" spans="1:9" x14ac:dyDescent="0.25">
      <c r="A22" s="144"/>
      <c r="B22" s="146"/>
      <c r="C22" s="152"/>
      <c r="D22" s="148"/>
      <c r="E22" s="148"/>
      <c r="F22" s="148"/>
      <c r="G22" s="148"/>
      <c r="H22" s="148"/>
      <c r="I22" s="149"/>
    </row>
    <row r="23" spans="1:9" ht="15.75" thickBot="1" x14ac:dyDescent="0.3">
      <c r="A23" s="144"/>
      <c r="B23" s="153"/>
      <c r="C23" s="154" t="s">
        <v>54</v>
      </c>
      <c r="D23" s="123">
        <f>SUM(D9:D22)</f>
        <v>0</v>
      </c>
      <c r="E23" s="123"/>
      <c r="F23" s="123">
        <f>SUM(F9:F22)</f>
        <v>0</v>
      </c>
      <c r="G23" s="123"/>
      <c r="H23" s="123">
        <f>D23-F23</f>
        <v>0</v>
      </c>
      <c r="I23" s="149"/>
    </row>
    <row r="24" spans="1:9" ht="15" customHeight="1" thickTop="1" x14ac:dyDescent="0.25"/>
  </sheetData>
  <conditionalFormatting sqref="I9:I23">
    <cfRule type="cellIs" dxfId="7"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61">
    <tabColor rgb="FF0070C0"/>
    <pageSetUpPr fitToPage="1"/>
  </sheetPr>
  <dimension ref="A1:J24"/>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3.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#9472.00'!B1</f>
        <v>DAS CC Hoover Level B Sprinkler Modifications</v>
      </c>
      <c r="B1" s="109"/>
      <c r="C1" s="109"/>
      <c r="D1" s="179"/>
      <c r="E1" s="179"/>
      <c r="F1" s="179"/>
      <c r="G1" s="180"/>
      <c r="H1" s="180"/>
      <c r="I1" s="181"/>
      <c r="J1" s="181"/>
    </row>
    <row r="2" spans="1:10" ht="15.75" x14ac:dyDescent="0.25">
      <c r="A2" s="126" t="str">
        <f>'RECAP #9472.00'!B2</f>
        <v>Project # 9472.00</v>
      </c>
      <c r="B2" s="182"/>
      <c r="C2" s="182"/>
      <c r="D2" s="179"/>
      <c r="E2" s="179"/>
      <c r="F2" s="179"/>
      <c r="G2" s="180"/>
      <c r="H2" s="180"/>
      <c r="I2" s="181"/>
      <c r="J2" s="181"/>
    </row>
    <row r="3" spans="1:10" ht="15.75" x14ac:dyDescent="0.25">
      <c r="A3" s="183" t="str">
        <f>'RECAP #9472.00'!B3</f>
        <v>Program code 947200</v>
      </c>
      <c r="B3" s="182"/>
      <c r="C3" s="182"/>
      <c r="D3" s="179"/>
      <c r="E3" s="184" t="str">
        <f>'RECAP #9472.00'!E3</f>
        <v>Major Program   4D01</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#9472.00'!B6</f>
        <v>Project Manager - Oliver S</v>
      </c>
      <c r="B6" s="126"/>
      <c r="C6" s="126"/>
      <c r="D6" s="188"/>
      <c r="E6" s="132" t="s">
        <v>597</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x14ac:dyDescent="0.25">
      <c r="A9" s="328"/>
      <c r="B9" s="196"/>
      <c r="C9" s="196"/>
      <c r="D9" s="205"/>
      <c r="E9" s="198"/>
      <c r="F9" s="199">
        <f>E9</f>
        <v>0</v>
      </c>
      <c r="G9" s="200"/>
      <c r="H9" s="200"/>
      <c r="I9" s="200">
        <f>F9</f>
        <v>0</v>
      </c>
      <c r="J9" s="137"/>
    </row>
    <row r="10" spans="1:10" x14ac:dyDescent="0.25">
      <c r="A10" s="336" t="s">
        <v>656</v>
      </c>
      <c r="B10" s="196">
        <v>45756</v>
      </c>
      <c r="C10" s="338">
        <v>2507</v>
      </c>
      <c r="D10" s="292" t="s">
        <v>657</v>
      </c>
      <c r="E10" s="199"/>
      <c r="F10" s="199">
        <f t="shared" ref="F10:F21" si="0">F9+E10</f>
        <v>0</v>
      </c>
      <c r="G10" s="203">
        <f>67.3+98.17</f>
        <v>165.47</v>
      </c>
      <c r="H10" s="200">
        <f t="shared" ref="H10:H21" si="1">H9+G10</f>
        <v>165.47</v>
      </c>
      <c r="I10" s="200">
        <f t="shared" ref="I10:I21" si="2">I9-G10+E10</f>
        <v>-165.47</v>
      </c>
      <c r="J10" s="137"/>
    </row>
    <row r="11" spans="1:10" x14ac:dyDescent="0.25">
      <c r="A11" s="336" t="s">
        <v>656</v>
      </c>
      <c r="B11" s="196">
        <v>45756</v>
      </c>
      <c r="C11" s="338">
        <v>9500</v>
      </c>
      <c r="D11" s="292" t="s">
        <v>658</v>
      </c>
      <c r="E11" s="199"/>
      <c r="F11" s="199">
        <f t="shared" si="0"/>
        <v>0</v>
      </c>
      <c r="G11" s="203">
        <f>92.5+1091.2</f>
        <v>1183.7</v>
      </c>
      <c r="H11" s="200">
        <f t="shared" si="1"/>
        <v>1349.17</v>
      </c>
      <c r="I11" s="200">
        <f t="shared" si="2"/>
        <v>-1349.17</v>
      </c>
      <c r="J11" s="137"/>
    </row>
    <row r="12" spans="1:10" x14ac:dyDescent="0.25">
      <c r="A12" s="292" t="s">
        <v>683</v>
      </c>
      <c r="B12" s="196">
        <v>45763</v>
      </c>
      <c r="C12" s="338">
        <v>2507</v>
      </c>
      <c r="D12" s="292" t="s">
        <v>684</v>
      </c>
      <c r="E12" s="199"/>
      <c r="F12" s="199">
        <f t="shared" si="0"/>
        <v>0</v>
      </c>
      <c r="G12" s="138">
        <v>-165.47</v>
      </c>
      <c r="H12" s="200">
        <f t="shared" si="1"/>
        <v>1183.7</v>
      </c>
      <c r="I12" s="200">
        <f t="shared" si="2"/>
        <v>-1183.7</v>
      </c>
      <c r="J12" s="137"/>
    </row>
    <row r="13" spans="1:10" x14ac:dyDescent="0.25">
      <c r="A13" s="292" t="s">
        <v>683</v>
      </c>
      <c r="B13" s="196">
        <v>45763</v>
      </c>
      <c r="C13" s="338">
        <v>9500</v>
      </c>
      <c r="D13" s="292" t="str">
        <f>D12</f>
        <v>Move expense from DA25 to X674</v>
      </c>
      <c r="E13" s="199"/>
      <c r="F13" s="199">
        <f t="shared" si="0"/>
        <v>0</v>
      </c>
      <c r="G13" s="138">
        <v>-1183.7</v>
      </c>
      <c r="H13" s="200">
        <f t="shared" si="1"/>
        <v>0</v>
      </c>
      <c r="I13" s="200">
        <f t="shared" si="2"/>
        <v>0</v>
      </c>
      <c r="J13" s="137"/>
    </row>
    <row r="14" spans="1:10" x14ac:dyDescent="0.25">
      <c r="A14" s="292"/>
      <c r="B14" s="196"/>
      <c r="C14" s="338"/>
      <c r="D14" s="292"/>
      <c r="E14" s="199"/>
      <c r="F14" s="199">
        <f t="shared" si="0"/>
        <v>0</v>
      </c>
      <c r="G14" s="200"/>
      <c r="H14" s="200">
        <f t="shared" si="1"/>
        <v>0</v>
      </c>
      <c r="I14" s="200">
        <f t="shared" si="2"/>
        <v>0</v>
      </c>
      <c r="J14" s="137"/>
    </row>
    <row r="15" spans="1:10" x14ac:dyDescent="0.25">
      <c r="A15" s="292"/>
      <c r="B15" s="196"/>
      <c r="C15" s="338"/>
      <c r="D15" s="292"/>
      <c r="E15" s="199"/>
      <c r="F15" s="199">
        <f t="shared" si="0"/>
        <v>0</v>
      </c>
      <c r="G15" s="203"/>
      <c r="H15" s="200">
        <f t="shared" si="1"/>
        <v>0</v>
      </c>
      <c r="I15" s="200">
        <f t="shared" si="2"/>
        <v>0</v>
      </c>
      <c r="J15" s="137"/>
    </row>
    <row r="16" spans="1:10" x14ac:dyDescent="0.25">
      <c r="A16" s="292"/>
      <c r="B16" s="196"/>
      <c r="C16" s="338"/>
      <c r="D16" s="205"/>
      <c r="E16" s="199"/>
      <c r="F16" s="199">
        <f t="shared" si="0"/>
        <v>0</v>
      </c>
      <c r="G16" s="203"/>
      <c r="H16" s="200">
        <f t="shared" si="1"/>
        <v>0</v>
      </c>
      <c r="I16" s="200">
        <f t="shared" si="2"/>
        <v>0</v>
      </c>
      <c r="J16" s="137"/>
    </row>
    <row r="17" spans="1:10" x14ac:dyDescent="0.25">
      <c r="A17" s="292"/>
      <c r="B17" s="196"/>
      <c r="C17" s="196"/>
      <c r="D17" s="205"/>
      <c r="E17" s="199"/>
      <c r="F17" s="199">
        <f t="shared" si="0"/>
        <v>0</v>
      </c>
      <c r="G17" s="203"/>
      <c r="H17" s="200">
        <f t="shared" si="1"/>
        <v>0</v>
      </c>
      <c r="I17" s="200">
        <f t="shared" si="2"/>
        <v>0</v>
      </c>
      <c r="J17" s="137"/>
    </row>
    <row r="18" spans="1:10" x14ac:dyDescent="0.25">
      <c r="A18" s="292"/>
      <c r="B18" s="196"/>
      <c r="C18" s="196"/>
      <c r="D18" s="205"/>
      <c r="E18" s="199"/>
      <c r="F18" s="199">
        <f t="shared" si="0"/>
        <v>0</v>
      </c>
      <c r="G18" s="203"/>
      <c r="H18" s="200">
        <f t="shared" si="1"/>
        <v>0</v>
      </c>
      <c r="I18" s="200">
        <f t="shared" si="2"/>
        <v>0</v>
      </c>
      <c r="J18" s="137"/>
    </row>
    <row r="19" spans="1:10" x14ac:dyDescent="0.25">
      <c r="A19" s="292"/>
      <c r="B19" s="196"/>
      <c r="C19" s="196"/>
      <c r="D19" s="205"/>
      <c r="E19" s="199"/>
      <c r="F19" s="199">
        <f t="shared" si="0"/>
        <v>0</v>
      </c>
      <c r="G19" s="200"/>
      <c r="H19" s="200">
        <f t="shared" si="1"/>
        <v>0</v>
      </c>
      <c r="I19" s="200">
        <f t="shared" si="2"/>
        <v>0</v>
      </c>
      <c r="J19" s="137"/>
    </row>
    <row r="20" spans="1:10" x14ac:dyDescent="0.25">
      <c r="A20" s="292"/>
      <c r="B20" s="196"/>
      <c r="C20" s="196"/>
      <c r="D20" s="205"/>
      <c r="E20" s="199"/>
      <c r="F20" s="199">
        <f t="shared" si="0"/>
        <v>0</v>
      </c>
      <c r="G20" s="200"/>
      <c r="H20" s="200">
        <f t="shared" si="1"/>
        <v>0</v>
      </c>
      <c r="I20" s="200">
        <f t="shared" si="2"/>
        <v>0</v>
      </c>
      <c r="J20" s="137"/>
    </row>
    <row r="21" spans="1:10" x14ac:dyDescent="0.25">
      <c r="A21" s="292"/>
      <c r="B21" s="196"/>
      <c r="C21" s="196"/>
      <c r="D21" s="137"/>
      <c r="E21" s="199"/>
      <c r="F21" s="199">
        <f t="shared" si="0"/>
        <v>0</v>
      </c>
      <c r="G21" s="200"/>
      <c r="H21" s="200">
        <f t="shared" si="1"/>
        <v>0</v>
      </c>
      <c r="I21" s="200">
        <f t="shared" si="2"/>
        <v>0</v>
      </c>
      <c r="J21" s="137"/>
    </row>
    <row r="22" spans="1:10" x14ac:dyDescent="0.25">
      <c r="A22" s="292"/>
      <c r="B22" s="197"/>
      <c r="C22" s="197"/>
      <c r="D22" s="205"/>
      <c r="E22" s="200"/>
      <c r="F22" s="200"/>
      <c r="G22" s="200"/>
      <c r="H22" s="200"/>
      <c r="I22" s="200"/>
      <c r="J22" s="137"/>
    </row>
    <row r="23" spans="1:10" ht="15.75" thickBot="1" x14ac:dyDescent="0.3">
      <c r="A23" s="292"/>
      <c r="B23" s="206"/>
      <c r="C23" s="206"/>
      <c r="D23" s="207" t="s">
        <v>54</v>
      </c>
      <c r="E23" s="208">
        <f>SUM(E9:E22)</f>
        <v>0</v>
      </c>
      <c r="F23" s="208"/>
      <c r="G23" s="208">
        <f>SUM(G9:G22)</f>
        <v>0</v>
      </c>
      <c r="H23" s="208"/>
      <c r="I23" s="208">
        <f>E23-G23</f>
        <v>0</v>
      </c>
      <c r="J23" s="137"/>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62">
    <tabColor indexed="3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#9472.00'!B1</f>
        <v>DAS CC Hoover Level B Sprinkler Modifications</v>
      </c>
      <c r="B1" s="79"/>
      <c r="C1" s="79"/>
      <c r="D1" s="79"/>
      <c r="E1" s="6"/>
      <c r="F1" s="6"/>
      <c r="G1" s="6"/>
      <c r="H1" s="124"/>
    </row>
    <row r="2" spans="1:8" ht="15.75" x14ac:dyDescent="0.25">
      <c r="A2" s="81" t="str">
        <f>'RECAP #9472.00'!B2</f>
        <v>Project # 9472.00</v>
      </c>
      <c r="B2" s="80"/>
      <c r="C2" s="80"/>
      <c r="D2" s="80"/>
      <c r="E2" s="6"/>
      <c r="F2" s="6"/>
      <c r="G2" s="6"/>
      <c r="H2" s="124"/>
    </row>
    <row r="3" spans="1:8" ht="15.75" x14ac:dyDescent="0.25">
      <c r="A3" s="82" t="str">
        <f>'RECAP #9472.00'!B3</f>
        <v>Program code 947200</v>
      </c>
      <c r="B3" s="80"/>
      <c r="C3" s="80"/>
      <c r="D3" s="80"/>
      <c r="E3" s="83" t="str">
        <f>'RECAP #9472.00'!E3</f>
        <v>Major Program   4D01</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#9472.00'!B6</f>
        <v>Project Manager - Oliver S</v>
      </c>
      <c r="B6" s="86"/>
      <c r="C6" s="86"/>
      <c r="D6" s="86"/>
      <c r="E6" s="83" t="s">
        <v>468</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x14ac:dyDescent="0.25">
      <c r="A9" s="133"/>
      <c r="B9" s="224"/>
      <c r="C9" s="225"/>
      <c r="D9" s="151"/>
      <c r="E9" s="144"/>
      <c r="F9" s="226"/>
      <c r="G9" s="155"/>
      <c r="H9" s="155">
        <f>G9</f>
        <v>0</v>
      </c>
    </row>
    <row r="10" spans="1:8" x14ac:dyDescent="0.25">
      <c r="A10" s="144"/>
      <c r="B10" s="224"/>
      <c r="C10" s="225"/>
      <c r="D10" s="151"/>
      <c r="E10" s="133"/>
      <c r="F10" s="219"/>
      <c r="G10" s="155"/>
      <c r="H10" s="155">
        <f>H9+G10</f>
        <v>0</v>
      </c>
    </row>
    <row r="11" spans="1:8" x14ac:dyDescent="0.25">
      <c r="A11" s="144"/>
      <c r="B11" s="224"/>
      <c r="C11" s="225"/>
      <c r="D11" s="151"/>
      <c r="E11" s="133"/>
      <c r="F11" s="219"/>
      <c r="G11" s="155"/>
      <c r="H11" s="155">
        <f t="shared" ref="H11:H20" si="0">H10+G11</f>
        <v>0</v>
      </c>
    </row>
    <row r="12" spans="1:8" x14ac:dyDescent="0.25">
      <c r="A12" s="144" t="s">
        <v>3</v>
      </c>
      <c r="B12" s="224" t="s">
        <v>3</v>
      </c>
      <c r="C12" s="225"/>
      <c r="D12" s="151"/>
      <c r="E12" s="133" t="s">
        <v>3</v>
      </c>
      <c r="F12" s="219"/>
      <c r="G12" s="155"/>
      <c r="H12" s="155">
        <f t="shared" si="0"/>
        <v>0</v>
      </c>
    </row>
    <row r="13" spans="1:8" x14ac:dyDescent="0.25">
      <c r="A13" s="144" t="s">
        <v>3</v>
      </c>
      <c r="B13" s="224" t="s">
        <v>3</v>
      </c>
      <c r="C13" s="225"/>
      <c r="D13" s="151"/>
      <c r="E13" s="133" t="s">
        <v>3</v>
      </c>
      <c r="F13" s="219"/>
      <c r="G13" s="155"/>
      <c r="H13" s="155">
        <f t="shared" si="0"/>
        <v>0</v>
      </c>
    </row>
    <row r="14" spans="1:8" x14ac:dyDescent="0.25">
      <c r="A14" s="144"/>
      <c r="B14" s="224"/>
      <c r="C14" s="225"/>
      <c r="D14" s="151"/>
      <c r="E14" s="133"/>
      <c r="F14" s="219"/>
      <c r="G14" s="155"/>
      <c r="H14" s="155">
        <f t="shared" si="0"/>
        <v>0</v>
      </c>
    </row>
    <row r="15" spans="1:8" x14ac:dyDescent="0.25">
      <c r="A15" s="144"/>
      <c r="B15" s="224"/>
      <c r="C15" s="225"/>
      <c r="D15" s="151"/>
      <c r="E15" s="171"/>
      <c r="F15" s="219"/>
      <c r="G15" s="155"/>
      <c r="H15" s="155">
        <f t="shared" si="0"/>
        <v>0</v>
      </c>
    </row>
    <row r="16" spans="1:8" x14ac:dyDescent="0.25">
      <c r="A16" s="144"/>
      <c r="B16" s="224"/>
      <c r="C16" s="225"/>
      <c r="D16" s="151"/>
      <c r="E16" s="133"/>
      <c r="F16" s="219"/>
      <c r="G16" s="155"/>
      <c r="H16" s="155">
        <f t="shared" si="0"/>
        <v>0</v>
      </c>
    </row>
    <row r="17" spans="1:8" x14ac:dyDescent="0.25">
      <c r="A17" s="144"/>
      <c r="B17" s="224"/>
      <c r="C17" s="225"/>
      <c r="D17" s="151"/>
      <c r="E17" s="133"/>
      <c r="F17" s="219"/>
      <c r="G17" s="155"/>
      <c r="H17" s="155">
        <f t="shared" si="0"/>
        <v>0</v>
      </c>
    </row>
    <row r="18" spans="1:8" x14ac:dyDescent="0.25">
      <c r="A18" s="144"/>
      <c r="B18" s="224"/>
      <c r="C18" s="225"/>
      <c r="D18" s="151"/>
      <c r="E18" s="133"/>
      <c r="F18" s="219"/>
      <c r="G18" s="155"/>
      <c r="H18" s="155">
        <f t="shared" si="0"/>
        <v>0</v>
      </c>
    </row>
    <row r="19" spans="1:8" x14ac:dyDescent="0.25">
      <c r="A19" s="144"/>
      <c r="B19" s="224"/>
      <c r="C19" s="225"/>
      <c r="D19" s="151"/>
      <c r="E19" s="133"/>
      <c r="F19" s="219"/>
      <c r="G19" s="155"/>
      <c r="H19" s="155">
        <f t="shared" si="0"/>
        <v>0</v>
      </c>
    </row>
    <row r="20" spans="1:8" x14ac:dyDescent="0.25">
      <c r="A20" s="144"/>
      <c r="B20" s="224"/>
      <c r="C20" s="225"/>
      <c r="D20" s="151"/>
      <c r="E20" s="133"/>
      <c r="F20" s="219"/>
      <c r="G20" s="155"/>
      <c r="H20" s="155">
        <f t="shared" si="0"/>
        <v>0</v>
      </c>
    </row>
    <row r="21" spans="1:8" x14ac:dyDescent="0.25">
      <c r="A21" s="144"/>
      <c r="B21" s="227"/>
      <c r="C21" s="225"/>
      <c r="D21" s="151"/>
      <c r="E21" s="133"/>
      <c r="F21" s="155"/>
      <c r="G21" s="133"/>
      <c r="H21" s="155"/>
    </row>
    <row r="22" spans="1:8" ht="15.75" thickBot="1" x14ac:dyDescent="0.3">
      <c r="A22" s="172"/>
      <c r="B22" s="228"/>
      <c r="C22" s="229"/>
      <c r="D22" s="173"/>
      <c r="E22" s="174" t="s">
        <v>54</v>
      </c>
      <c r="F22" s="175"/>
      <c r="G22" s="123">
        <f>SUM(G9:G21)</f>
        <v>0</v>
      </c>
      <c r="H22" s="175"/>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63">
    <tabColor rgb="FF0070C0"/>
    <pageSetUpPr fitToPage="1"/>
  </sheetPr>
  <dimension ref="A1:G17"/>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608</v>
      </c>
      <c r="C1" s="109"/>
      <c r="D1" s="179"/>
      <c r="E1" s="179"/>
      <c r="F1" s="179"/>
      <c r="G1" s="179"/>
    </row>
    <row r="2" spans="1:7" ht="15.75" x14ac:dyDescent="0.25">
      <c r="A2" s="212"/>
      <c r="B2" s="126" t="s">
        <v>611</v>
      </c>
      <c r="C2" s="182"/>
      <c r="D2" s="179"/>
      <c r="E2" s="179"/>
      <c r="F2" s="179"/>
      <c r="G2" s="179"/>
    </row>
    <row r="3" spans="1:7" ht="15.75" x14ac:dyDescent="0.25">
      <c r="A3" s="212"/>
      <c r="B3" s="183" t="s">
        <v>690</v>
      </c>
      <c r="C3" s="182"/>
      <c r="D3" s="179"/>
      <c r="E3" s="184" t="s">
        <v>612</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473</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'#9473.00 Funds Rec''d'!H24</f>
        <v>0</v>
      </c>
      <c r="D8" s="258"/>
      <c r="E8" s="258"/>
      <c r="F8" s="258"/>
      <c r="G8" s="259"/>
    </row>
    <row r="9" spans="1:7" x14ac:dyDescent="0.25">
      <c r="A9" s="212"/>
      <c r="B9" s="182"/>
      <c r="C9" s="260"/>
      <c r="D9" s="261"/>
      <c r="E9" s="261"/>
      <c r="F9" s="261"/>
      <c r="G9" s="259"/>
    </row>
    <row r="10" spans="1:7" x14ac:dyDescent="0.25">
      <c r="A10" s="212"/>
      <c r="B10" s="182" t="s">
        <v>40</v>
      </c>
      <c r="C10" s="260"/>
      <c r="D10" s="258">
        <f>'#9473.00 Vendor A '!D23</f>
        <v>0</v>
      </c>
      <c r="E10" s="258">
        <f>'#9473.00 Vendor A '!F23</f>
        <v>0</v>
      </c>
      <c r="F10" s="258">
        <f>'#9473.00 Vendor A '!H23</f>
        <v>0</v>
      </c>
      <c r="G10" s="259"/>
    </row>
    <row r="11" spans="1:7" x14ac:dyDescent="0.25">
      <c r="A11" s="212"/>
      <c r="B11" s="182" t="s">
        <v>41</v>
      </c>
      <c r="C11" s="260"/>
      <c r="D11" s="258">
        <f>'#9473.00 PM TIME '!E23</f>
        <v>0</v>
      </c>
      <c r="E11" s="258">
        <f>'#9473.00 PM TIME '!G23</f>
        <v>0</v>
      </c>
      <c r="F11" s="258">
        <f>'#9473.00 PM TIME '!I23</f>
        <v>0</v>
      </c>
      <c r="G11" s="259"/>
    </row>
    <row r="12" spans="1:7" x14ac:dyDescent="0.25">
      <c r="A12" s="212"/>
      <c r="B12" s="182" t="s">
        <v>42</v>
      </c>
      <c r="C12" s="261"/>
      <c r="D12" s="262">
        <f>'#9473.00 Misc'!G22</f>
        <v>0</v>
      </c>
      <c r="E12" s="262">
        <f>'#9473.00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43</v>
      </c>
      <c r="C14" s="265">
        <f>SUM(C8:C13)</f>
        <v>0</v>
      </c>
      <c r="D14" s="265">
        <f>SUM(D8:D13)</f>
        <v>0</v>
      </c>
      <c r="E14" s="265">
        <f>SUM(E8:E13)</f>
        <v>0</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689</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64">
    <tabColor indexed="30"/>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04" t="str">
        <f>'RECAP #9473.00'!B1</f>
        <v>DAS CC Hoover Print Shop Expansion</v>
      </c>
      <c r="B1" s="7"/>
      <c r="C1" s="2"/>
      <c r="D1" s="3"/>
      <c r="E1" s="3"/>
      <c r="F1" s="7"/>
      <c r="G1" s="7"/>
      <c r="H1" s="7"/>
    </row>
    <row r="2" spans="1:8" x14ac:dyDescent="0.25">
      <c r="A2" s="105" t="str">
        <f>'RECAP #9473.00'!B2</f>
        <v>Project # 9473.00</v>
      </c>
      <c r="B2" s="7"/>
      <c r="C2" s="106" t="s">
        <v>3</v>
      </c>
      <c r="D2" s="1"/>
      <c r="E2" s="1"/>
      <c r="F2" s="7"/>
      <c r="G2" s="7"/>
      <c r="H2" s="7"/>
    </row>
    <row r="3" spans="1:8" x14ac:dyDescent="0.25">
      <c r="A3" s="107" t="str">
        <f>'RECAP #9473.00'!B3</f>
        <v>Program code 947300</v>
      </c>
      <c r="B3" s="7"/>
      <c r="C3" s="106" t="s">
        <v>3</v>
      </c>
      <c r="D3" s="108" t="str">
        <f>'RECAP #9473.00'!E3</f>
        <v>Major Program 4E06</v>
      </c>
      <c r="E3" s="3"/>
      <c r="F3" s="7"/>
      <c r="G3" s="7"/>
      <c r="H3" s="7"/>
    </row>
    <row r="4" spans="1:8" ht="15.75" x14ac:dyDescent="0.25">
      <c r="A4" s="109" t="s">
        <v>44</v>
      </c>
      <c r="B4" s="110" t="s">
        <v>3</v>
      </c>
      <c r="C4" s="3"/>
      <c r="D4" s="3"/>
      <c r="E4" s="3"/>
      <c r="F4" s="7"/>
      <c r="G4" s="7"/>
      <c r="H4" s="7"/>
    </row>
    <row r="5" spans="1:8" x14ac:dyDescent="0.25">
      <c r="A5" s="100" t="s">
        <v>65</v>
      </c>
      <c r="B5" s="22"/>
      <c r="C5" s="111"/>
      <c r="D5" s="23"/>
      <c r="E5" s="7"/>
      <c r="F5" s="7"/>
      <c r="G5" s="7"/>
      <c r="H5" s="7"/>
    </row>
    <row r="6" spans="1:8" x14ac:dyDescent="0.25">
      <c r="A6" s="112" t="str">
        <f>'RECAP #9473.00'!B6</f>
        <v>Project Manager - Oliver S</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x14ac:dyDescent="0.25">
      <c r="A9" s="12"/>
      <c r="B9" s="119"/>
      <c r="C9" s="14"/>
      <c r="D9" s="15"/>
      <c r="E9" s="15"/>
      <c r="F9" s="120"/>
      <c r="G9" s="223"/>
      <c r="H9" s="216"/>
    </row>
    <row r="10" spans="1:8" ht="12.75" customHeight="1" x14ac:dyDescent="0.25">
      <c r="A10" s="12"/>
      <c r="B10" s="12"/>
      <c r="C10" s="13"/>
      <c r="D10" s="15"/>
      <c r="E10" s="12"/>
      <c r="F10" s="12"/>
      <c r="G10" s="215"/>
      <c r="H10" s="215"/>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0</v>
      </c>
      <c r="H24" s="123">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65">
    <tabColor indexed="3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#9473.00'!B1</f>
        <v>DAS CC Hoover Print Shop Expansion</v>
      </c>
      <c r="B1" s="79"/>
      <c r="C1" s="6"/>
      <c r="D1" s="6"/>
      <c r="E1" s="6"/>
      <c r="F1" s="124"/>
      <c r="G1" s="124"/>
      <c r="H1" s="125"/>
      <c r="I1" s="125"/>
    </row>
    <row r="2" spans="1:9" ht="15.75" x14ac:dyDescent="0.25">
      <c r="A2" s="81" t="str">
        <f>'RECAP #9473.00'!B2</f>
        <v>Project # 9473.00</v>
      </c>
      <c r="B2" s="80"/>
      <c r="C2" s="6"/>
      <c r="D2" s="6"/>
      <c r="E2" s="6"/>
      <c r="F2" s="124"/>
      <c r="G2" s="124"/>
      <c r="H2" s="125"/>
      <c r="I2" s="125"/>
    </row>
    <row r="3" spans="1:9" ht="15.75" x14ac:dyDescent="0.25">
      <c r="A3" s="82" t="str">
        <f>'RECAP #9473.00'!B3</f>
        <v>Program code 947300</v>
      </c>
      <c r="B3" s="80"/>
      <c r="C3" s="6"/>
      <c r="D3" s="83" t="str">
        <f>'RECAP #9473.00'!E3</f>
        <v>Major Program 4E06</v>
      </c>
      <c r="E3" s="6"/>
      <c r="F3" s="124"/>
      <c r="G3" s="124"/>
      <c r="H3" s="125"/>
      <c r="I3" s="125"/>
    </row>
    <row r="4" spans="1:9" ht="15.75" x14ac:dyDescent="0.25">
      <c r="A4" s="109" t="s">
        <v>13</v>
      </c>
      <c r="B4" s="126"/>
      <c r="C4" s="127"/>
      <c r="D4" s="128" t="s">
        <v>47</v>
      </c>
      <c r="E4" s="124"/>
      <c r="F4" s="124"/>
      <c r="G4" s="124"/>
      <c r="H4" s="125"/>
      <c r="I4" s="125"/>
    </row>
    <row r="5" spans="1:9" ht="15.75" x14ac:dyDescent="0.25">
      <c r="A5" s="129" t="s">
        <v>66</v>
      </c>
      <c r="B5" s="130"/>
      <c r="C5" s="131"/>
      <c r="D5" s="132"/>
      <c r="E5" s="133"/>
      <c r="F5" s="134"/>
      <c r="G5" s="134"/>
      <c r="H5" s="130"/>
      <c r="I5" s="125"/>
    </row>
    <row r="6" spans="1:9" ht="15.75" x14ac:dyDescent="0.25">
      <c r="A6" s="86" t="str">
        <f>'RECAP #9473.00'!B6</f>
        <v>Project Manager - Oliver S</v>
      </c>
      <c r="B6" s="86"/>
      <c r="C6" s="135"/>
      <c r="D6" s="136" t="s">
        <v>48</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x14ac:dyDescent="0.25">
      <c r="A9" s="144"/>
      <c r="B9" s="145"/>
      <c r="C9" s="146"/>
      <c r="D9" s="147"/>
      <c r="E9" s="147">
        <f>D9</f>
        <v>0</v>
      </c>
      <c r="F9" s="148"/>
      <c r="G9" s="148"/>
      <c r="H9" s="148">
        <f>E9</f>
        <v>0</v>
      </c>
      <c r="I9" s="149"/>
    </row>
    <row r="10" spans="1:9" x14ac:dyDescent="0.25">
      <c r="A10" s="144"/>
      <c r="B10" s="17"/>
      <c r="C10" s="146"/>
      <c r="D10" s="147"/>
      <c r="E10" s="147">
        <f t="shared" ref="E10:E21" si="0">E9+D10</f>
        <v>0</v>
      </c>
      <c r="F10" s="150"/>
      <c r="G10" s="148">
        <f t="shared" ref="G10:G21" si="1">G9+F10</f>
        <v>0</v>
      </c>
      <c r="H10" s="148">
        <f t="shared" ref="H10:H21" si="2">H9-F10+D10</f>
        <v>0</v>
      </c>
      <c r="I10" s="149"/>
    </row>
    <row r="11" spans="1:9" x14ac:dyDescent="0.25">
      <c r="A11" s="144"/>
      <c r="B11" s="145"/>
      <c r="C11" s="146"/>
      <c r="D11" s="147"/>
      <c r="E11" s="147">
        <f t="shared" si="0"/>
        <v>0</v>
      </c>
      <c r="F11" s="150"/>
      <c r="G11" s="148">
        <f t="shared" si="1"/>
        <v>0</v>
      </c>
      <c r="H11" s="148">
        <f t="shared" si="2"/>
        <v>0</v>
      </c>
      <c r="I11" s="149"/>
    </row>
    <row r="12" spans="1:9" x14ac:dyDescent="0.25">
      <c r="A12" s="144"/>
      <c r="B12" s="145"/>
      <c r="C12" s="146"/>
      <c r="D12" s="147"/>
      <c r="E12" s="147">
        <f t="shared" si="0"/>
        <v>0</v>
      </c>
      <c r="F12" s="150"/>
      <c r="G12" s="148">
        <f t="shared" si="1"/>
        <v>0</v>
      </c>
      <c r="H12" s="148">
        <f t="shared" si="2"/>
        <v>0</v>
      </c>
      <c r="I12" s="149"/>
    </row>
    <row r="13" spans="1:9" x14ac:dyDescent="0.25">
      <c r="A13" s="144"/>
      <c r="B13" s="145"/>
      <c r="C13" s="146"/>
      <c r="D13" s="147"/>
      <c r="E13" s="147">
        <f t="shared" si="0"/>
        <v>0</v>
      </c>
      <c r="F13" s="150"/>
      <c r="G13" s="148">
        <f t="shared" si="1"/>
        <v>0</v>
      </c>
      <c r="H13" s="148">
        <f t="shared" si="2"/>
        <v>0</v>
      </c>
      <c r="I13" s="149"/>
    </row>
    <row r="14" spans="1:9" x14ac:dyDescent="0.25">
      <c r="A14" s="144"/>
      <c r="B14" s="145"/>
      <c r="C14" s="146"/>
      <c r="D14" s="147"/>
      <c r="E14" s="147">
        <f t="shared" si="0"/>
        <v>0</v>
      </c>
      <c r="F14" s="148"/>
      <c r="G14" s="148">
        <f t="shared" si="1"/>
        <v>0</v>
      </c>
      <c r="H14" s="148">
        <f t="shared" si="2"/>
        <v>0</v>
      </c>
      <c r="I14" s="149"/>
    </row>
    <row r="15" spans="1:9" x14ac:dyDescent="0.25">
      <c r="A15" s="144"/>
      <c r="B15" s="145"/>
      <c r="C15" s="146"/>
      <c r="D15" s="147"/>
      <c r="E15" s="147">
        <f t="shared" si="0"/>
        <v>0</v>
      </c>
      <c r="F15" s="150"/>
      <c r="G15" s="148">
        <f t="shared" si="1"/>
        <v>0</v>
      </c>
      <c r="H15" s="148">
        <f t="shared" si="2"/>
        <v>0</v>
      </c>
      <c r="I15" s="149"/>
    </row>
    <row r="16" spans="1:9" x14ac:dyDescent="0.25">
      <c r="A16" s="144"/>
      <c r="B16" s="145"/>
      <c r="C16" s="146"/>
      <c r="D16" s="147"/>
      <c r="E16" s="147">
        <f t="shared" si="0"/>
        <v>0</v>
      </c>
      <c r="F16" s="150"/>
      <c r="G16" s="148">
        <f t="shared" si="1"/>
        <v>0</v>
      </c>
      <c r="H16" s="148">
        <f t="shared" si="2"/>
        <v>0</v>
      </c>
      <c r="I16" s="149"/>
    </row>
    <row r="17" spans="1:9" x14ac:dyDescent="0.25">
      <c r="A17" s="144"/>
      <c r="B17" s="145"/>
      <c r="C17" s="146"/>
      <c r="D17" s="147"/>
      <c r="E17" s="147">
        <f t="shared" si="0"/>
        <v>0</v>
      </c>
      <c r="F17" s="150"/>
      <c r="G17" s="148">
        <f t="shared" si="1"/>
        <v>0</v>
      </c>
      <c r="H17" s="148">
        <f t="shared" si="2"/>
        <v>0</v>
      </c>
      <c r="I17" s="149"/>
    </row>
    <row r="18" spans="1:9" x14ac:dyDescent="0.25">
      <c r="A18" s="144"/>
      <c r="B18" s="145"/>
      <c r="C18" s="146"/>
      <c r="D18" s="147"/>
      <c r="E18" s="147">
        <f t="shared" si="0"/>
        <v>0</v>
      </c>
      <c r="F18" s="150"/>
      <c r="G18" s="148">
        <f t="shared" si="1"/>
        <v>0</v>
      </c>
      <c r="H18" s="148">
        <f t="shared" si="2"/>
        <v>0</v>
      </c>
      <c r="I18" s="149"/>
    </row>
    <row r="19" spans="1:9" x14ac:dyDescent="0.25">
      <c r="A19" s="144"/>
      <c r="B19" s="145"/>
      <c r="C19" s="146"/>
      <c r="D19" s="147"/>
      <c r="E19" s="147">
        <f t="shared" si="0"/>
        <v>0</v>
      </c>
      <c r="F19" s="148"/>
      <c r="G19" s="148">
        <f t="shared" si="1"/>
        <v>0</v>
      </c>
      <c r="H19" s="148">
        <f t="shared" si="2"/>
        <v>0</v>
      </c>
      <c r="I19" s="149"/>
    </row>
    <row r="20" spans="1:9" x14ac:dyDescent="0.25">
      <c r="A20" s="144"/>
      <c r="B20" s="145"/>
      <c r="C20" s="146"/>
      <c r="D20" s="147"/>
      <c r="E20" s="147">
        <f t="shared" si="0"/>
        <v>0</v>
      </c>
      <c r="F20" s="148"/>
      <c r="G20" s="148">
        <f t="shared" si="1"/>
        <v>0</v>
      </c>
      <c r="H20" s="148">
        <f t="shared" si="2"/>
        <v>0</v>
      </c>
      <c r="I20" s="149"/>
    </row>
    <row r="21" spans="1:9" x14ac:dyDescent="0.25">
      <c r="A21" s="144"/>
      <c r="B21" s="145"/>
      <c r="C21" s="151"/>
      <c r="D21" s="147"/>
      <c r="E21" s="147">
        <f t="shared" si="0"/>
        <v>0</v>
      </c>
      <c r="F21" s="148"/>
      <c r="G21" s="148">
        <f t="shared" si="1"/>
        <v>0</v>
      </c>
      <c r="H21" s="148">
        <f t="shared" si="2"/>
        <v>0</v>
      </c>
      <c r="I21" s="149"/>
    </row>
    <row r="22" spans="1:9" x14ac:dyDescent="0.25">
      <c r="A22" s="144"/>
      <c r="B22" s="146"/>
      <c r="C22" s="152"/>
      <c r="D22" s="148"/>
      <c r="E22" s="148"/>
      <c r="F22" s="148"/>
      <c r="G22" s="148"/>
      <c r="H22" s="148"/>
      <c r="I22" s="149"/>
    </row>
    <row r="23" spans="1:9" ht="15.75" thickBot="1" x14ac:dyDescent="0.3">
      <c r="A23" s="144"/>
      <c r="B23" s="153"/>
      <c r="C23" s="154" t="s">
        <v>54</v>
      </c>
      <c r="D23" s="123">
        <f>SUM(D9:D22)</f>
        <v>0</v>
      </c>
      <c r="E23" s="123"/>
      <c r="F23" s="123">
        <f>SUM(F9:F22)</f>
        <v>0</v>
      </c>
      <c r="G23" s="123"/>
      <c r="H23" s="123">
        <f>D23-F23</f>
        <v>0</v>
      </c>
      <c r="I23" s="149"/>
    </row>
    <row r="24" spans="1:9" ht="15" customHeight="1" thickTop="1" x14ac:dyDescent="0.25"/>
  </sheetData>
  <conditionalFormatting sqref="I9:I23">
    <cfRule type="cellIs" dxfId="6"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66">
    <tabColor rgb="FF0070C0"/>
    <pageSetUpPr fitToPage="1"/>
  </sheetPr>
  <dimension ref="A1:J24"/>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78" t="str">
        <f>'RECAP #9473.00'!B1</f>
        <v>DAS CC Hoover Print Shop Expansion</v>
      </c>
      <c r="B1" s="79"/>
      <c r="C1" s="79"/>
      <c r="D1" s="6"/>
      <c r="E1" s="6"/>
      <c r="F1" s="6"/>
      <c r="G1" s="124"/>
      <c r="H1" s="124"/>
      <c r="I1" s="125"/>
      <c r="J1" s="125"/>
    </row>
    <row r="2" spans="1:10" ht="15.75" x14ac:dyDescent="0.25">
      <c r="A2" s="81" t="str">
        <f>'RECAP #9473.00'!B2</f>
        <v>Project # 9473.00</v>
      </c>
      <c r="B2" s="80"/>
      <c r="C2" s="80"/>
      <c r="D2" s="6"/>
      <c r="E2" s="6"/>
      <c r="F2" s="6"/>
      <c r="G2" s="124"/>
      <c r="H2" s="124"/>
      <c r="I2" s="125"/>
      <c r="J2" s="125"/>
    </row>
    <row r="3" spans="1:10" ht="15.75" x14ac:dyDescent="0.25">
      <c r="A3" s="82" t="str">
        <f>'RECAP #9473.00'!B3</f>
        <v>Program code 947300</v>
      </c>
      <c r="B3" s="80"/>
      <c r="C3" s="80"/>
      <c r="D3" s="6"/>
      <c r="E3" s="83" t="str">
        <f>'RECAP #9473.00'!E3</f>
        <v>Major Program 4E06</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#9473.00'!B6</f>
        <v>Project Manager - Oliver S</v>
      </c>
      <c r="B6" s="86"/>
      <c r="C6" s="86"/>
      <c r="D6" s="135"/>
      <c r="E6" s="132" t="s">
        <v>642</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x14ac:dyDescent="0.25">
      <c r="A9" s="162"/>
      <c r="B9" s="145"/>
      <c r="C9" s="145"/>
      <c r="D9" s="152"/>
      <c r="E9" s="163"/>
      <c r="F9" s="147">
        <f>E9</f>
        <v>0</v>
      </c>
      <c r="G9" s="148"/>
      <c r="H9" s="148"/>
      <c r="I9" s="148">
        <f>F9</f>
        <v>0</v>
      </c>
      <c r="J9" s="149"/>
    </row>
    <row r="10" spans="1:10" x14ac:dyDescent="0.25">
      <c r="A10" s="164"/>
      <c r="B10" s="145"/>
      <c r="C10" s="145"/>
      <c r="D10" s="152"/>
      <c r="E10" s="147"/>
      <c r="F10" s="147">
        <f t="shared" ref="F10:F21" si="0">F9+E10</f>
        <v>0</v>
      </c>
      <c r="G10" s="165"/>
      <c r="H10" s="148">
        <f t="shared" ref="H10:H21" si="1">H9+G10</f>
        <v>0</v>
      </c>
      <c r="I10" s="148">
        <f t="shared" ref="I10:I21" si="2">I9-G10+E10</f>
        <v>0</v>
      </c>
      <c r="J10" s="149"/>
    </row>
    <row r="11" spans="1:10" x14ac:dyDescent="0.25">
      <c r="A11" s="164"/>
      <c r="B11" s="145"/>
      <c r="C11" s="145"/>
      <c r="D11" s="152"/>
      <c r="E11" s="147"/>
      <c r="F11" s="147">
        <f t="shared" si="0"/>
        <v>0</v>
      </c>
      <c r="G11" s="150"/>
      <c r="H11" s="148">
        <f t="shared" si="1"/>
        <v>0</v>
      </c>
      <c r="I11" s="148">
        <f t="shared" si="2"/>
        <v>0</v>
      </c>
      <c r="J11" s="149"/>
    </row>
    <row r="12" spans="1:10" x14ac:dyDescent="0.25">
      <c r="A12" s="119"/>
      <c r="B12" s="145"/>
      <c r="C12" s="145"/>
      <c r="D12" s="152"/>
      <c r="E12" s="147"/>
      <c r="F12" s="147">
        <f t="shared" si="0"/>
        <v>0</v>
      </c>
      <c r="G12" s="150"/>
      <c r="H12" s="148">
        <f t="shared" si="1"/>
        <v>0</v>
      </c>
      <c r="I12" s="148">
        <f t="shared" si="2"/>
        <v>0</v>
      </c>
      <c r="J12" s="149"/>
    </row>
    <row r="13" spans="1:10" x14ac:dyDescent="0.25">
      <c r="A13" s="119"/>
      <c r="B13" s="145"/>
      <c r="C13" s="145"/>
      <c r="D13" s="152"/>
      <c r="E13" s="147"/>
      <c r="F13" s="147">
        <f t="shared" si="0"/>
        <v>0</v>
      </c>
      <c r="G13" s="150"/>
      <c r="H13" s="148">
        <f t="shared" si="1"/>
        <v>0</v>
      </c>
      <c r="I13" s="148">
        <f t="shared" si="2"/>
        <v>0</v>
      </c>
      <c r="J13" s="149"/>
    </row>
    <row r="14" spans="1:10" x14ac:dyDescent="0.25">
      <c r="A14" s="119"/>
      <c r="B14" s="145"/>
      <c r="C14" s="145"/>
      <c r="D14" s="152"/>
      <c r="E14" s="147"/>
      <c r="F14" s="147">
        <f t="shared" si="0"/>
        <v>0</v>
      </c>
      <c r="G14" s="148"/>
      <c r="H14" s="148">
        <f t="shared" si="1"/>
        <v>0</v>
      </c>
      <c r="I14" s="148">
        <f t="shared" si="2"/>
        <v>0</v>
      </c>
      <c r="J14" s="149"/>
    </row>
    <row r="15" spans="1:10" x14ac:dyDescent="0.25">
      <c r="A15" s="119"/>
      <c r="B15" s="145"/>
      <c r="C15" s="145"/>
      <c r="D15" s="152"/>
      <c r="E15" s="147"/>
      <c r="F15" s="147">
        <f t="shared" si="0"/>
        <v>0</v>
      </c>
      <c r="G15" s="150"/>
      <c r="H15" s="148">
        <f t="shared" si="1"/>
        <v>0</v>
      </c>
      <c r="I15" s="148">
        <f t="shared" si="2"/>
        <v>0</v>
      </c>
      <c r="J15" s="149"/>
    </row>
    <row r="16" spans="1:10" x14ac:dyDescent="0.25">
      <c r="A16" s="119"/>
      <c r="B16" s="145"/>
      <c r="C16" s="145"/>
      <c r="D16" s="152"/>
      <c r="E16" s="147"/>
      <c r="F16" s="147">
        <f t="shared" si="0"/>
        <v>0</v>
      </c>
      <c r="G16" s="150"/>
      <c r="H16" s="148">
        <f t="shared" si="1"/>
        <v>0</v>
      </c>
      <c r="I16" s="148">
        <f t="shared" si="2"/>
        <v>0</v>
      </c>
      <c r="J16" s="149"/>
    </row>
    <row r="17" spans="1:10" x14ac:dyDescent="0.25">
      <c r="A17" s="119"/>
      <c r="B17" s="145"/>
      <c r="C17" s="145"/>
      <c r="D17" s="152"/>
      <c r="E17" s="147"/>
      <c r="F17" s="147">
        <f t="shared" si="0"/>
        <v>0</v>
      </c>
      <c r="G17" s="150"/>
      <c r="H17" s="148">
        <f t="shared" si="1"/>
        <v>0</v>
      </c>
      <c r="I17" s="148">
        <f t="shared" si="2"/>
        <v>0</v>
      </c>
      <c r="J17" s="149"/>
    </row>
    <row r="18" spans="1:10" x14ac:dyDescent="0.25">
      <c r="A18" s="119"/>
      <c r="B18" s="145"/>
      <c r="C18" s="145"/>
      <c r="D18" s="152"/>
      <c r="E18" s="147"/>
      <c r="F18" s="147">
        <f t="shared" si="0"/>
        <v>0</v>
      </c>
      <c r="G18" s="150"/>
      <c r="H18" s="148">
        <f t="shared" si="1"/>
        <v>0</v>
      </c>
      <c r="I18" s="148">
        <f t="shared" si="2"/>
        <v>0</v>
      </c>
      <c r="J18" s="149"/>
    </row>
    <row r="19" spans="1:10" x14ac:dyDescent="0.25">
      <c r="A19" s="119"/>
      <c r="B19" s="145"/>
      <c r="C19" s="145"/>
      <c r="D19" s="152"/>
      <c r="E19" s="147"/>
      <c r="F19" s="147">
        <f t="shared" si="0"/>
        <v>0</v>
      </c>
      <c r="G19" s="148"/>
      <c r="H19" s="148">
        <f t="shared" si="1"/>
        <v>0</v>
      </c>
      <c r="I19" s="148">
        <f t="shared" si="2"/>
        <v>0</v>
      </c>
      <c r="J19" s="149"/>
    </row>
    <row r="20" spans="1:10" x14ac:dyDescent="0.25">
      <c r="A20" s="119"/>
      <c r="B20" s="145"/>
      <c r="C20" s="145"/>
      <c r="D20" s="152"/>
      <c r="E20" s="147"/>
      <c r="F20" s="147">
        <f t="shared" si="0"/>
        <v>0</v>
      </c>
      <c r="G20" s="148"/>
      <c r="H20" s="148">
        <f t="shared" si="1"/>
        <v>0</v>
      </c>
      <c r="I20" s="148">
        <f t="shared" si="2"/>
        <v>0</v>
      </c>
      <c r="J20" s="149"/>
    </row>
    <row r="21" spans="1:10" x14ac:dyDescent="0.25">
      <c r="A21" s="119"/>
      <c r="B21" s="145"/>
      <c r="C21" s="145"/>
      <c r="D21" s="133"/>
      <c r="E21" s="147"/>
      <c r="F21" s="147">
        <f t="shared" si="0"/>
        <v>0</v>
      </c>
      <c r="G21" s="148"/>
      <c r="H21" s="148">
        <f t="shared" si="1"/>
        <v>0</v>
      </c>
      <c r="I21" s="148">
        <f t="shared" si="2"/>
        <v>0</v>
      </c>
      <c r="J21" s="149"/>
    </row>
    <row r="22" spans="1:10" x14ac:dyDescent="0.25">
      <c r="A22" s="119"/>
      <c r="B22" s="146"/>
      <c r="C22" s="146"/>
      <c r="D22" s="152"/>
      <c r="E22" s="148"/>
      <c r="F22" s="148"/>
      <c r="G22" s="148"/>
      <c r="H22" s="148"/>
      <c r="I22" s="148"/>
      <c r="J22" s="149"/>
    </row>
    <row r="23" spans="1:10" ht="15.75" thickBot="1" x14ac:dyDescent="0.3">
      <c r="A23" s="119"/>
      <c r="B23" s="153"/>
      <c r="C23" s="153"/>
      <c r="D23" s="154" t="s">
        <v>54</v>
      </c>
      <c r="E23" s="123">
        <f>SUM(E9:E22)</f>
        <v>0</v>
      </c>
      <c r="F23" s="123"/>
      <c r="G23" s="123">
        <f>SUM(G9:G22)</f>
        <v>0</v>
      </c>
      <c r="H23" s="123"/>
      <c r="I23" s="123">
        <f>E23-G23</f>
        <v>0</v>
      </c>
      <c r="J23" s="149"/>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67">
    <tabColor indexed="3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#9473.00'!B1</f>
        <v>DAS CC Hoover Print Shop Expansion</v>
      </c>
      <c r="B1" s="79"/>
      <c r="C1" s="79"/>
      <c r="D1" s="79"/>
      <c r="E1" s="6"/>
      <c r="F1" s="6"/>
      <c r="G1" s="6"/>
      <c r="H1" s="124"/>
    </row>
    <row r="2" spans="1:8" ht="15.75" x14ac:dyDescent="0.25">
      <c r="A2" s="81" t="str">
        <f>'RECAP #9473.00'!B2</f>
        <v>Project # 9473.00</v>
      </c>
      <c r="B2" s="80"/>
      <c r="C2" s="80"/>
      <c r="D2" s="80"/>
      <c r="E2" s="6"/>
      <c r="F2" s="6"/>
      <c r="G2" s="6"/>
      <c r="H2" s="124"/>
    </row>
    <row r="3" spans="1:8" ht="15.75" x14ac:dyDescent="0.25">
      <c r="A3" s="82" t="str">
        <f>'RECAP #9473.00'!B3</f>
        <v>Program code 947300</v>
      </c>
      <c r="B3" s="80"/>
      <c r="C3" s="80"/>
      <c r="D3" s="80"/>
      <c r="E3" s="83" t="str">
        <f>'RECAP #9473.00'!E3</f>
        <v>Major Program 4E06</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#9473.00'!B6</f>
        <v>Project Manager - Oliver S</v>
      </c>
      <c r="B6" s="86"/>
      <c r="C6" s="86"/>
      <c r="D6" s="86"/>
      <c r="E6" s="83" t="s">
        <v>468</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x14ac:dyDescent="0.25">
      <c r="A9" s="133"/>
      <c r="B9" s="224"/>
      <c r="C9" s="225"/>
      <c r="D9" s="151"/>
      <c r="E9" s="144"/>
      <c r="F9" s="226"/>
      <c r="G9" s="155"/>
      <c r="H9" s="155">
        <f>G9</f>
        <v>0</v>
      </c>
    </row>
    <row r="10" spans="1:8" x14ac:dyDescent="0.25">
      <c r="A10" s="144"/>
      <c r="B10" s="224"/>
      <c r="C10" s="225"/>
      <c r="D10" s="151"/>
      <c r="E10" s="133"/>
      <c r="F10" s="219"/>
      <c r="G10" s="155"/>
      <c r="H10" s="155">
        <f>H9+G10</f>
        <v>0</v>
      </c>
    </row>
    <row r="11" spans="1:8" x14ac:dyDescent="0.25">
      <c r="A11" s="144"/>
      <c r="B11" s="224"/>
      <c r="C11" s="225"/>
      <c r="D11" s="151"/>
      <c r="E11" s="133"/>
      <c r="F11" s="219"/>
      <c r="G11" s="155"/>
      <c r="H11" s="155">
        <f t="shared" ref="H11:H20" si="0">H10+G11</f>
        <v>0</v>
      </c>
    </row>
    <row r="12" spans="1:8" x14ac:dyDescent="0.25">
      <c r="A12" s="144" t="s">
        <v>3</v>
      </c>
      <c r="B12" s="224" t="s">
        <v>3</v>
      </c>
      <c r="C12" s="225"/>
      <c r="D12" s="151"/>
      <c r="E12" s="133" t="s">
        <v>3</v>
      </c>
      <c r="F12" s="219"/>
      <c r="G12" s="155"/>
      <c r="H12" s="155">
        <f t="shared" si="0"/>
        <v>0</v>
      </c>
    </row>
    <row r="13" spans="1:8" x14ac:dyDescent="0.25">
      <c r="A13" s="144" t="s">
        <v>3</v>
      </c>
      <c r="B13" s="224" t="s">
        <v>3</v>
      </c>
      <c r="C13" s="225"/>
      <c r="D13" s="151"/>
      <c r="E13" s="133" t="s">
        <v>3</v>
      </c>
      <c r="F13" s="219"/>
      <c r="G13" s="155"/>
      <c r="H13" s="155">
        <f t="shared" si="0"/>
        <v>0</v>
      </c>
    </row>
    <row r="14" spans="1:8" x14ac:dyDescent="0.25">
      <c r="A14" s="144"/>
      <c r="B14" s="224"/>
      <c r="C14" s="225"/>
      <c r="D14" s="151"/>
      <c r="E14" s="133"/>
      <c r="F14" s="219"/>
      <c r="G14" s="155"/>
      <c r="H14" s="155">
        <f t="shared" si="0"/>
        <v>0</v>
      </c>
    </row>
    <row r="15" spans="1:8" x14ac:dyDescent="0.25">
      <c r="A15" s="144"/>
      <c r="B15" s="224"/>
      <c r="C15" s="225"/>
      <c r="D15" s="151"/>
      <c r="E15" s="171"/>
      <c r="F15" s="219"/>
      <c r="G15" s="155"/>
      <c r="H15" s="155">
        <f t="shared" si="0"/>
        <v>0</v>
      </c>
    </row>
    <row r="16" spans="1:8" x14ac:dyDescent="0.25">
      <c r="A16" s="144"/>
      <c r="B16" s="224"/>
      <c r="C16" s="225"/>
      <c r="D16" s="151"/>
      <c r="E16" s="133"/>
      <c r="F16" s="219"/>
      <c r="G16" s="155"/>
      <c r="H16" s="155">
        <f t="shared" si="0"/>
        <v>0</v>
      </c>
    </row>
    <row r="17" spans="1:8" x14ac:dyDescent="0.25">
      <c r="A17" s="144"/>
      <c r="B17" s="224"/>
      <c r="C17" s="225"/>
      <c r="D17" s="151"/>
      <c r="E17" s="133"/>
      <c r="F17" s="219"/>
      <c r="G17" s="155"/>
      <c r="H17" s="155">
        <f t="shared" si="0"/>
        <v>0</v>
      </c>
    </row>
    <row r="18" spans="1:8" x14ac:dyDescent="0.25">
      <c r="A18" s="144"/>
      <c r="B18" s="224"/>
      <c r="C18" s="225"/>
      <c r="D18" s="151"/>
      <c r="E18" s="133"/>
      <c r="F18" s="219"/>
      <c r="G18" s="155"/>
      <c r="H18" s="155">
        <f t="shared" si="0"/>
        <v>0</v>
      </c>
    </row>
    <row r="19" spans="1:8" x14ac:dyDescent="0.25">
      <c r="A19" s="144"/>
      <c r="B19" s="224"/>
      <c r="C19" s="225"/>
      <c r="D19" s="151"/>
      <c r="E19" s="133"/>
      <c r="F19" s="219"/>
      <c r="G19" s="155"/>
      <c r="H19" s="155">
        <f t="shared" si="0"/>
        <v>0</v>
      </c>
    </row>
    <row r="20" spans="1:8" x14ac:dyDescent="0.25">
      <c r="A20" s="144"/>
      <c r="B20" s="224"/>
      <c r="C20" s="225"/>
      <c r="D20" s="151"/>
      <c r="E20" s="133"/>
      <c r="F20" s="219"/>
      <c r="G20" s="155"/>
      <c r="H20" s="155">
        <f t="shared" si="0"/>
        <v>0</v>
      </c>
    </row>
    <row r="21" spans="1:8" x14ac:dyDescent="0.25">
      <c r="A21" s="144"/>
      <c r="B21" s="227"/>
      <c r="C21" s="225"/>
      <c r="D21" s="151"/>
      <c r="E21" s="133"/>
      <c r="F21" s="155"/>
      <c r="G21" s="133"/>
      <c r="H21" s="155"/>
    </row>
    <row r="22" spans="1:8" ht="15.75" thickBot="1" x14ac:dyDescent="0.3">
      <c r="A22" s="172"/>
      <c r="B22" s="228"/>
      <c r="C22" s="229"/>
      <c r="D22" s="173"/>
      <c r="E22" s="174" t="s">
        <v>54</v>
      </c>
      <c r="F22" s="175"/>
      <c r="G22" s="123">
        <f>SUM(G9:G21)</f>
        <v>0</v>
      </c>
      <c r="H22" s="175"/>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68">
    <pageSetUpPr fitToPage="1"/>
  </sheetPr>
  <dimension ref="A1:G19"/>
  <sheetViews>
    <sheetView tabSelected="1" topLeftCell="A6"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668</v>
      </c>
      <c r="C1" s="79"/>
      <c r="D1" s="6"/>
      <c r="E1" s="6"/>
      <c r="F1" s="6"/>
      <c r="G1" s="6"/>
    </row>
    <row r="2" spans="1:7" ht="15.75" x14ac:dyDescent="0.25">
      <c r="A2" s="77"/>
      <c r="B2" s="81" t="s">
        <v>669</v>
      </c>
      <c r="C2" s="80"/>
      <c r="D2" s="6"/>
      <c r="E2" s="6"/>
      <c r="F2" s="6"/>
      <c r="G2" s="6"/>
    </row>
    <row r="3" spans="1:7" ht="15.75" x14ac:dyDescent="0.25">
      <c r="A3" s="77"/>
      <c r="B3" s="82" t="s">
        <v>670</v>
      </c>
      <c r="C3" s="80"/>
      <c r="D3" s="6"/>
      <c r="E3" s="83" t="s">
        <v>71</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712</v>
      </c>
      <c r="C6" s="87"/>
      <c r="D6" s="88" t="s">
        <v>3</v>
      </c>
      <c r="E6" s="6"/>
      <c r="F6" s="6"/>
      <c r="G6" s="6"/>
    </row>
    <row r="7" spans="1:7" ht="36.75" customHeight="1" thickBot="1" x14ac:dyDescent="0.3">
      <c r="A7" s="77"/>
      <c r="B7" s="89" t="s">
        <v>3</v>
      </c>
      <c r="C7" s="90" t="s">
        <v>0</v>
      </c>
      <c r="D7" s="91" t="s">
        <v>1</v>
      </c>
      <c r="E7" s="92" t="s">
        <v>2</v>
      </c>
      <c r="F7" s="93" t="s">
        <v>37</v>
      </c>
      <c r="G7" s="93" t="s">
        <v>38</v>
      </c>
    </row>
    <row r="8" spans="1:7" ht="28.35" customHeight="1" x14ac:dyDescent="0.25">
      <c r="A8" s="77"/>
      <c r="B8" s="80" t="s">
        <v>39</v>
      </c>
      <c r="C8" s="94">
        <f>'#9475.00 Funds Rec''d'!H24</f>
        <v>211000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3"/>
      <c r="B10" s="474" t="s">
        <v>251</v>
      </c>
      <c r="C10" s="475"/>
      <c r="D10" s="479">
        <f>'#9475.00 Genesis Architectural'!D23</f>
        <v>36600</v>
      </c>
      <c r="E10" s="479">
        <f>'#9475.00 Genesis Architectural'!F23</f>
        <v>22700</v>
      </c>
      <c r="F10" s="479">
        <f>'#9475.00 Genesis Architectural'!H23</f>
        <v>13900</v>
      </c>
      <c r="G10" s="477"/>
    </row>
    <row r="11" spans="1:7" s="330" customFormat="1" ht="12.75" customHeight="1" x14ac:dyDescent="0.25">
      <c r="A11" s="473"/>
      <c r="B11" s="474" t="s">
        <v>41</v>
      </c>
      <c r="C11" s="475"/>
      <c r="D11" s="479">
        <f>'#9475.00 PM TIME'!E34</f>
        <v>6000</v>
      </c>
      <c r="E11" s="479">
        <f>'#9475.00 PM TIME'!G34</f>
        <v>5349.7400000000007</v>
      </c>
      <c r="F11" s="479">
        <f>'#9475.00 PM TIME'!I34</f>
        <v>650.25999999999931</v>
      </c>
      <c r="G11" s="477"/>
    </row>
    <row r="12" spans="1:7" s="330" customFormat="1" ht="12.75" customHeight="1" x14ac:dyDescent="0.25">
      <c r="A12" s="473"/>
      <c r="B12" s="474" t="s">
        <v>42</v>
      </c>
      <c r="C12" s="476"/>
      <c r="D12" s="463">
        <f>'#9475.00 Misc'!G22</f>
        <v>1420.8600000000001</v>
      </c>
      <c r="E12" s="463">
        <f>'#9475.00 Misc'!G22</f>
        <v>1420.8600000000001</v>
      </c>
      <c r="F12" s="479">
        <f>D12-E12</f>
        <v>0</v>
      </c>
      <c r="G12" s="477"/>
    </row>
    <row r="13" spans="1:7" s="330" customFormat="1" ht="12.75" customHeight="1" x14ac:dyDescent="0.25">
      <c r="A13" s="478" t="s">
        <v>170</v>
      </c>
      <c r="B13" s="474" t="s">
        <v>151</v>
      </c>
      <c r="C13" s="476"/>
      <c r="D13" s="463">
        <f>'#9475.00 DCI Group'!D23</f>
        <v>12634.150000000001</v>
      </c>
      <c r="E13" s="463">
        <f>'#9475.00 DCI Group'!F23</f>
        <v>12634.150000000001</v>
      </c>
      <c r="F13" s="479">
        <f>'#9475.00 DCI Group'!H23</f>
        <v>0</v>
      </c>
      <c r="G13" s="477"/>
    </row>
    <row r="14" spans="1:7" s="330" customFormat="1" ht="12.75" customHeight="1" x14ac:dyDescent="0.25">
      <c r="A14" s="473"/>
      <c r="B14" s="474" t="s">
        <v>1461</v>
      </c>
      <c r="C14" s="476"/>
      <c r="D14" s="463">
        <f>'#9475.00 Christiansen Contr'!D23</f>
        <v>106760</v>
      </c>
      <c r="E14" s="463">
        <f>'#9475.00 Christiansen Contr'!F23</f>
        <v>0</v>
      </c>
      <c r="F14" s="479">
        <f>'#9475.00 Christiansen Contr'!H23</f>
        <v>106760</v>
      </c>
      <c r="G14" s="477"/>
    </row>
    <row r="15" spans="1:7" s="330" customFormat="1" ht="12.75" customHeight="1" x14ac:dyDescent="0.25">
      <c r="A15" s="473"/>
      <c r="B15" s="474" t="s">
        <v>1460</v>
      </c>
      <c r="C15" s="476"/>
      <c r="D15" s="463">
        <f>'#9475.00 CW Suter'!D23</f>
        <v>16380</v>
      </c>
      <c r="E15" s="463">
        <f>'#9475.00 CW Suter'!F23</f>
        <v>0</v>
      </c>
      <c r="F15" s="479">
        <f>'#9475.00 CW Suter'!H23</f>
        <v>16380</v>
      </c>
      <c r="G15" s="477"/>
    </row>
    <row r="16" spans="1:7" s="330" customFormat="1" ht="12.75" customHeight="1" x14ac:dyDescent="0.25">
      <c r="A16" s="473"/>
      <c r="B16" s="474" t="s">
        <v>1559</v>
      </c>
      <c r="C16" s="476"/>
      <c r="D16" s="463">
        <f>'#9475.00 DCI Group (2)'!D23</f>
        <v>22442.25</v>
      </c>
      <c r="E16" s="463">
        <f>'#9475.00 DCI Group (2)'!F23</f>
        <v>8651.2000000000007</v>
      </c>
      <c r="F16" s="479">
        <f>'#9475.00 DCI Group (2)'!H23</f>
        <v>13791.05</v>
      </c>
      <c r="G16" s="477"/>
    </row>
    <row r="17" spans="1:7" s="330" customFormat="1" ht="12.75" customHeight="1" x14ac:dyDescent="0.25">
      <c r="A17" s="473"/>
      <c r="B17" s="474"/>
      <c r="C17" s="476"/>
      <c r="D17" s="463"/>
      <c r="E17" s="463"/>
      <c r="F17" s="479"/>
      <c r="G17" s="477"/>
    </row>
    <row r="18" spans="1:7" ht="24" customHeight="1" thickBot="1" x14ac:dyDescent="0.3">
      <c r="A18" s="100"/>
      <c r="B18" s="101" t="s">
        <v>43</v>
      </c>
      <c r="C18" s="102">
        <f>SUM(C8:C17)</f>
        <v>211000</v>
      </c>
      <c r="D18" s="102">
        <f>SUM(D8:D17)</f>
        <v>202237.26</v>
      </c>
      <c r="E18" s="102">
        <f>SUM(E8:E17)</f>
        <v>50755.95</v>
      </c>
      <c r="F18" s="102">
        <f>SUM(D18-E18)</f>
        <v>151481.31</v>
      </c>
      <c r="G18" s="102">
        <f>C18-D18</f>
        <v>8762.7399999999907</v>
      </c>
    </row>
    <row r="19" spans="1:7" ht="15" customHeight="1" thickTop="1" x14ac:dyDescent="0.25"/>
  </sheetData>
  <pageMargins left="0.25" right="0.25" top="1.1032291666666667"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44.5703125" customWidth="1"/>
    <col min="5" max="5" width="17.85546875" customWidth="1"/>
    <col min="6" max="6" width="10.42578125" bestFit="1" customWidth="1"/>
    <col min="7" max="8" width="12.42578125" bestFit="1" customWidth="1"/>
    <col min="9" max="11" width="9.140625" customWidth="1"/>
  </cols>
  <sheetData>
    <row r="1" spans="1:8" x14ac:dyDescent="0.25">
      <c r="A1" s="104" t="str">
        <f>'RECAP #9239.03'!B1</f>
        <v>DOC-NCF-IPI Homes or Iowa Facility Project Fencing - Phase II</v>
      </c>
      <c r="B1" s="7"/>
      <c r="C1" s="2"/>
      <c r="D1" s="3"/>
      <c r="E1" s="3"/>
      <c r="F1" s="7"/>
      <c r="G1" s="7"/>
      <c r="H1" s="7"/>
    </row>
    <row r="2" spans="1:8" x14ac:dyDescent="0.25">
      <c r="A2" s="105" t="str">
        <f>'RECAP #9239.03'!B2</f>
        <v>Project # 9239.03</v>
      </c>
      <c r="B2" s="7"/>
      <c r="C2" s="106" t="s">
        <v>3</v>
      </c>
      <c r="D2" s="1"/>
      <c r="E2" s="1"/>
      <c r="F2" s="7"/>
      <c r="G2" s="7"/>
      <c r="H2" s="7"/>
    </row>
    <row r="3" spans="1:8" x14ac:dyDescent="0.25">
      <c r="A3" s="107" t="str">
        <f>'RECAP #9239.03'!B3</f>
        <v>Program code 923903</v>
      </c>
      <c r="B3" s="7"/>
      <c r="C3" s="106" t="s">
        <v>3</v>
      </c>
      <c r="D3" s="108" t="str">
        <f>'RECAP #9239.03'!E3</f>
        <v>Major Program 4B01</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#9239.03'!B6</f>
        <v>Project Manager - Brad T</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ht="16.5" customHeight="1" x14ac:dyDescent="0.25">
      <c r="A9" s="12"/>
      <c r="B9" s="119"/>
      <c r="C9" s="14"/>
      <c r="D9" s="15" t="s">
        <v>685</v>
      </c>
      <c r="E9" s="12" t="s">
        <v>686</v>
      </c>
      <c r="F9" s="230">
        <v>45765</v>
      </c>
      <c r="G9" s="235">
        <v>850000</v>
      </c>
      <c r="H9" s="235">
        <v>850000</v>
      </c>
    </row>
    <row r="10" spans="1:8" ht="12.75" customHeight="1" x14ac:dyDescent="0.25">
      <c r="A10" s="12"/>
      <c r="B10" s="12"/>
      <c r="C10" s="13"/>
      <c r="D10" s="233" t="s">
        <v>995</v>
      </c>
      <c r="E10" s="230" t="s">
        <v>997</v>
      </c>
      <c r="F10" s="230">
        <v>45881</v>
      </c>
      <c r="G10" s="343">
        <v>-747002.85</v>
      </c>
      <c r="H10" s="343">
        <v>-747002.85</v>
      </c>
    </row>
    <row r="11" spans="1:8" ht="12.75" customHeight="1" x14ac:dyDescent="0.25">
      <c r="A11" s="19"/>
      <c r="B11" s="13"/>
      <c r="C11" s="16"/>
      <c r="D11" s="233" t="s">
        <v>685</v>
      </c>
      <c r="E11" s="230" t="s">
        <v>1062</v>
      </c>
      <c r="F11" s="230">
        <v>45896</v>
      </c>
      <c r="G11" s="342">
        <v>747002.85</v>
      </c>
      <c r="H11" s="342">
        <v>747002.85</v>
      </c>
    </row>
    <row r="12" spans="1:8" ht="12.75" customHeight="1" x14ac:dyDescent="0.25">
      <c r="A12" s="19"/>
      <c r="B12" s="13"/>
      <c r="C12" s="20"/>
      <c r="D12" s="233" t="s">
        <v>1243</v>
      </c>
      <c r="E12" s="230" t="s">
        <v>1244</v>
      </c>
      <c r="F12" s="230">
        <v>45939</v>
      </c>
      <c r="G12" s="343">
        <v>-200000</v>
      </c>
      <c r="H12" s="343">
        <v>-200000</v>
      </c>
    </row>
    <row r="13" spans="1:8" ht="12.75" customHeight="1" x14ac:dyDescent="0.25">
      <c r="A13" s="17"/>
      <c r="B13" s="21"/>
      <c r="C13" s="20"/>
      <c r="D13" s="233"/>
      <c r="E13" s="330"/>
      <c r="F13" s="230"/>
      <c r="G13" s="333"/>
      <c r="H13" s="334"/>
    </row>
    <row r="14" spans="1:8" ht="12.75" customHeight="1" x14ac:dyDescent="0.25">
      <c r="A14" s="19"/>
      <c r="B14" s="22"/>
      <c r="C14" s="20"/>
      <c r="D14" s="236"/>
      <c r="E14" s="242"/>
      <c r="F14" s="230"/>
      <c r="G14" s="331"/>
      <c r="H14" s="332"/>
    </row>
    <row r="15" spans="1:8" ht="12.75" customHeight="1" x14ac:dyDescent="0.25">
      <c r="A15" s="19"/>
      <c r="B15" s="22"/>
      <c r="C15" s="111"/>
      <c r="D15" s="244"/>
      <c r="E15" s="241"/>
      <c r="F15" s="245"/>
      <c r="G15" s="246"/>
      <c r="H15" s="246"/>
    </row>
    <row r="16" spans="1:8" ht="12.75" customHeight="1" x14ac:dyDescent="0.25">
      <c r="A16" s="19"/>
      <c r="B16" s="22"/>
      <c r="C16" s="111" t="s">
        <v>3</v>
      </c>
      <c r="D16" s="244"/>
      <c r="E16" s="242"/>
      <c r="F16" s="245"/>
      <c r="G16" s="246"/>
      <c r="H16" s="246"/>
    </row>
    <row r="17" spans="1:8" ht="12.75" customHeight="1" x14ac:dyDescent="0.25">
      <c r="A17" s="19"/>
      <c r="B17" s="22"/>
      <c r="C17" s="111"/>
      <c r="D17" s="244"/>
      <c r="E17" s="242"/>
      <c r="F17" s="245"/>
      <c r="G17" s="247"/>
      <c r="H17" s="243"/>
    </row>
    <row r="18" spans="1:8" ht="12.75" customHeight="1" x14ac:dyDescent="0.25">
      <c r="A18" s="19"/>
      <c r="B18" s="103"/>
      <c r="C18" s="111"/>
      <c r="D18" s="244"/>
      <c r="E18" s="242"/>
      <c r="F18" s="245"/>
      <c r="G18" s="246"/>
      <c r="H18" s="246"/>
    </row>
    <row r="19" spans="1:8" ht="12.75" customHeight="1" x14ac:dyDescent="0.25">
      <c r="A19" s="19"/>
      <c r="B19" s="22"/>
      <c r="C19" s="111"/>
      <c r="D19" s="244"/>
      <c r="E19" s="242"/>
      <c r="F19" s="245"/>
      <c r="G19" s="246"/>
      <c r="H19" s="246"/>
    </row>
    <row r="20" spans="1:8" ht="12.75" customHeight="1" x14ac:dyDescent="0.25">
      <c r="A20" s="19"/>
      <c r="B20" s="22"/>
      <c r="C20" s="111"/>
      <c r="D20" s="244"/>
      <c r="E20" s="242"/>
      <c r="F20" s="245"/>
      <c r="G20" s="247"/>
      <c r="H20" s="243"/>
    </row>
    <row r="21" spans="1:8" ht="12.75" customHeight="1" x14ac:dyDescent="0.25">
      <c r="A21" s="19"/>
      <c r="B21" s="22"/>
      <c r="C21" s="111"/>
      <c r="D21" s="244"/>
      <c r="E21" s="242"/>
      <c r="F21" s="245"/>
      <c r="G21" s="247"/>
      <c r="H21" s="243"/>
    </row>
    <row r="22" spans="1:8" ht="12.75" customHeight="1" x14ac:dyDescent="0.25">
      <c r="A22" s="19"/>
      <c r="B22" s="22"/>
      <c r="C22" s="111"/>
      <c r="D22" s="244"/>
      <c r="E22" s="242"/>
      <c r="F22" s="237"/>
      <c r="G22" s="246"/>
      <c r="H22" s="246"/>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650000</v>
      </c>
      <c r="H24" s="123">
        <f>SUM(H9:H23)</f>
        <v>650000</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69">
    <pageSetUpPr fitToPage="1"/>
  </sheetPr>
  <dimension ref="A1:H29"/>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29.5703125" customWidth="1"/>
    <col min="5" max="5" width="25.42578125" customWidth="1"/>
    <col min="6" max="6" width="10.42578125" bestFit="1" customWidth="1"/>
    <col min="7" max="8" width="12.42578125" bestFit="1" customWidth="1"/>
    <col min="9" max="11" width="9.140625" customWidth="1"/>
  </cols>
  <sheetData>
    <row r="1" spans="1:8" x14ac:dyDescent="0.25">
      <c r="A1" s="104" t="str">
        <f>'RECAP #9475.00'!B1</f>
        <v>HHS CHMHI Fleet Garage Repairs</v>
      </c>
      <c r="B1" s="7"/>
      <c r="C1" s="2"/>
      <c r="D1" s="3"/>
      <c r="E1" s="3"/>
      <c r="F1" s="7"/>
      <c r="G1" s="7"/>
      <c r="H1" s="7"/>
    </row>
    <row r="2" spans="1:8" x14ac:dyDescent="0.25">
      <c r="A2" s="105" t="str">
        <f>'RECAP #9475.00'!B2</f>
        <v>Project # 9475.00</v>
      </c>
      <c r="B2" s="7"/>
      <c r="C2" s="106" t="s">
        <v>3</v>
      </c>
      <c r="D2" s="1"/>
      <c r="E2" s="1"/>
      <c r="F2" s="7"/>
      <c r="G2" s="7"/>
      <c r="H2" s="7"/>
    </row>
    <row r="3" spans="1:8" x14ac:dyDescent="0.25">
      <c r="A3" s="107" t="str">
        <f>'RECAP #9475.00'!B3</f>
        <v>Program code 947500</v>
      </c>
      <c r="B3" s="7"/>
      <c r="C3" s="106" t="s">
        <v>3</v>
      </c>
      <c r="D3" s="108" t="str">
        <f>'RECAP #9475.00'!E3</f>
        <v>Major Program 4B02</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#9475.00'!B6</f>
        <v>Project Manager -  Jennie E.</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s="330" customFormat="1" ht="12.75" customHeight="1" x14ac:dyDescent="0.25">
      <c r="A9" s="230"/>
      <c r="B9" s="231"/>
      <c r="C9" s="232"/>
      <c r="D9" s="233" t="s">
        <v>73</v>
      </c>
      <c r="E9" s="233" t="s">
        <v>709</v>
      </c>
      <c r="F9" s="234">
        <v>45777</v>
      </c>
      <c r="G9" s="445">
        <v>175000</v>
      </c>
      <c r="H9" s="445">
        <v>175000</v>
      </c>
    </row>
    <row r="10" spans="1:8" s="330" customFormat="1" ht="12.75" customHeight="1" x14ac:dyDescent="0.25">
      <c r="A10" s="230"/>
      <c r="B10" s="230"/>
      <c r="C10" s="236"/>
      <c r="D10" s="233" t="s">
        <v>995</v>
      </c>
      <c r="E10" s="230" t="s">
        <v>1006</v>
      </c>
      <c r="F10" s="230">
        <v>45881</v>
      </c>
      <c r="G10" s="534">
        <v>-174280.81</v>
      </c>
      <c r="H10" s="534">
        <v>-174280.81</v>
      </c>
    </row>
    <row r="11" spans="1:8" s="330" customFormat="1" ht="12.75" customHeight="1" x14ac:dyDescent="0.25">
      <c r="A11" s="237"/>
      <c r="B11" s="236"/>
      <c r="C11" s="238"/>
      <c r="D11" s="233" t="s">
        <v>1059</v>
      </c>
      <c r="E11" s="230" t="s">
        <v>1077</v>
      </c>
      <c r="F11" s="230">
        <v>45902</v>
      </c>
      <c r="G11" s="445">
        <v>174280.81</v>
      </c>
      <c r="H11" s="445">
        <v>174280.81</v>
      </c>
    </row>
    <row r="12" spans="1:8" s="330" customFormat="1" ht="12.75" customHeight="1" x14ac:dyDescent="0.25">
      <c r="A12" s="237"/>
      <c r="B12" s="236"/>
      <c r="C12" s="239"/>
      <c r="D12" s="233" t="s">
        <v>351</v>
      </c>
      <c r="E12" s="230" t="s">
        <v>1472</v>
      </c>
      <c r="F12" s="230">
        <v>46031</v>
      </c>
      <c r="G12" s="445">
        <v>36000</v>
      </c>
      <c r="H12" s="445">
        <v>36000</v>
      </c>
    </row>
    <row r="13" spans="1:8" s="330" customFormat="1" ht="12.75" customHeight="1" x14ac:dyDescent="0.25">
      <c r="A13" s="240"/>
      <c r="B13" s="241"/>
      <c r="C13" s="239"/>
      <c r="D13" s="233"/>
      <c r="F13" s="230"/>
      <c r="G13" s="399"/>
      <c r="H13" s="398"/>
    </row>
    <row r="14" spans="1:8" s="330" customFormat="1" ht="12.75" customHeight="1" x14ac:dyDescent="0.25">
      <c r="A14" s="237"/>
      <c r="B14" s="242"/>
      <c r="C14" s="239"/>
      <c r="D14" s="236"/>
      <c r="E14" s="242"/>
      <c r="F14" s="230"/>
      <c r="G14" s="397"/>
      <c r="H14" s="398"/>
    </row>
    <row r="15" spans="1:8" s="330" customFormat="1" ht="12.75" customHeight="1" x14ac:dyDescent="0.25">
      <c r="A15" s="237"/>
      <c r="B15" s="242"/>
      <c r="C15" s="243"/>
      <c r="D15" s="244"/>
      <c r="E15" s="241"/>
      <c r="F15" s="245"/>
      <c r="G15" s="400"/>
      <c r="H15" s="400"/>
    </row>
    <row r="16" spans="1:8" s="330" customFormat="1" ht="12.75" customHeight="1" x14ac:dyDescent="0.25">
      <c r="A16" s="237"/>
      <c r="B16" s="242"/>
      <c r="C16" s="243" t="s">
        <v>3</v>
      </c>
      <c r="D16" s="244"/>
      <c r="E16" s="242"/>
      <c r="F16" s="245"/>
      <c r="G16" s="400"/>
      <c r="H16" s="400"/>
    </row>
    <row r="17" spans="1:8" s="330" customFormat="1" ht="12.75" customHeight="1" x14ac:dyDescent="0.25">
      <c r="A17" s="237"/>
      <c r="B17" s="242"/>
      <c r="C17" s="243"/>
      <c r="D17" s="244"/>
      <c r="E17" s="242"/>
      <c r="F17" s="245"/>
      <c r="G17" s="247"/>
      <c r="H17" s="401"/>
    </row>
    <row r="18" spans="1:8" s="330" customFormat="1" ht="12.75" customHeight="1" x14ac:dyDescent="0.25">
      <c r="A18" s="237"/>
      <c r="B18" s="248"/>
      <c r="C18" s="243"/>
      <c r="D18" s="244"/>
      <c r="E18" s="242"/>
      <c r="F18" s="245"/>
      <c r="G18" s="400"/>
      <c r="H18" s="400"/>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2.75" customHeight="1" thickBot="1" x14ac:dyDescent="0.3">
      <c r="A24" s="526"/>
      <c r="B24" s="527" t="s">
        <v>9</v>
      </c>
      <c r="C24" s="528">
        <f>SUM(C9:C23)</f>
        <v>0</v>
      </c>
      <c r="D24" s="529" t="s">
        <v>10</v>
      </c>
      <c r="E24" s="530"/>
      <c r="F24" s="531"/>
      <c r="G24" s="426">
        <f>SUM(G9:G23)</f>
        <v>211000</v>
      </c>
      <c r="H24" s="426">
        <f>SUM(H9:H23)</f>
        <v>211000</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70">
    <pageSetUpPr fitToPage="1"/>
  </sheetPr>
  <dimension ref="A1:I30"/>
  <sheetViews>
    <sheetView tabSelected="1" topLeftCell="A3"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251</v>
      </c>
      <c r="B4" s="126"/>
      <c r="C4" s="127"/>
      <c r="D4" s="128" t="s">
        <v>252</v>
      </c>
      <c r="E4" s="124"/>
      <c r="F4" s="124"/>
      <c r="G4" s="124"/>
      <c r="H4" s="125"/>
      <c r="I4" s="125"/>
    </row>
    <row r="5" spans="1:9" ht="15.75" x14ac:dyDescent="0.25">
      <c r="A5" s="129" t="s">
        <v>143</v>
      </c>
      <c r="B5" s="130"/>
      <c r="C5" s="131"/>
      <c r="D5" s="132" t="s">
        <v>1111</v>
      </c>
      <c r="E5" s="133"/>
      <c r="F5" s="134"/>
      <c r="G5" s="134"/>
      <c r="H5" s="130"/>
      <c r="I5" s="125"/>
    </row>
    <row r="6" spans="1:9" ht="15.75" x14ac:dyDescent="0.25">
      <c r="A6" s="86" t="str">
        <f>'RECAP #9475.00'!B6</f>
        <v>Project Manager -  Jennie E.</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1112</v>
      </c>
      <c r="B9" s="409">
        <v>45911</v>
      </c>
      <c r="C9" s="410" t="s">
        <v>107</v>
      </c>
      <c r="D9" s="411">
        <v>36600</v>
      </c>
      <c r="E9" s="412">
        <f>D9</f>
        <v>36600</v>
      </c>
      <c r="F9" s="413"/>
      <c r="G9" s="413"/>
      <c r="H9" s="413">
        <f>E9</f>
        <v>36600</v>
      </c>
      <c r="I9" s="414"/>
    </row>
    <row r="10" spans="1:9" s="330" customFormat="1" ht="12.75" customHeight="1" x14ac:dyDescent="0.25">
      <c r="A10" s="408" t="s">
        <v>1253</v>
      </c>
      <c r="B10" s="240">
        <v>45943</v>
      </c>
      <c r="C10" s="410" t="s">
        <v>1254</v>
      </c>
      <c r="D10" s="412"/>
      <c r="E10" s="412">
        <f t="shared" ref="E10:E21" si="0">E9+D10</f>
        <v>36600</v>
      </c>
      <c r="F10" s="445">
        <v>16650</v>
      </c>
      <c r="G10" s="413">
        <f t="shared" ref="G10:G21" si="1">G9+F10</f>
        <v>16650</v>
      </c>
      <c r="H10" s="413">
        <f t="shared" ref="H10:H21" si="2">H9-F10+D10</f>
        <v>19950</v>
      </c>
      <c r="I10" s="414"/>
    </row>
    <row r="11" spans="1:9" s="330" customFormat="1" ht="12.75" customHeight="1" x14ac:dyDescent="0.25">
      <c r="A11" s="408" t="s">
        <v>1278</v>
      </c>
      <c r="B11" s="409">
        <v>45954</v>
      </c>
      <c r="C11" s="410" t="s">
        <v>1279</v>
      </c>
      <c r="D11" s="412"/>
      <c r="E11" s="412">
        <f t="shared" si="0"/>
        <v>36600</v>
      </c>
      <c r="F11" s="445">
        <v>1850</v>
      </c>
      <c r="G11" s="413">
        <f t="shared" si="1"/>
        <v>18500</v>
      </c>
      <c r="H11" s="413">
        <f t="shared" si="2"/>
        <v>18100</v>
      </c>
      <c r="I11" s="414"/>
    </row>
    <row r="12" spans="1:9" s="330" customFormat="1" ht="12.75" customHeight="1" x14ac:dyDescent="0.25">
      <c r="A12" s="408" t="s">
        <v>1408</v>
      </c>
      <c r="B12" s="409">
        <v>46007</v>
      </c>
      <c r="C12" s="410" t="s">
        <v>1409</v>
      </c>
      <c r="D12" s="412"/>
      <c r="E12" s="412">
        <f t="shared" si="0"/>
        <v>36600</v>
      </c>
      <c r="F12" s="445">
        <v>4200</v>
      </c>
      <c r="G12" s="413">
        <f t="shared" si="1"/>
        <v>22700</v>
      </c>
      <c r="H12" s="413">
        <f t="shared" si="2"/>
        <v>13900</v>
      </c>
      <c r="I12" s="414"/>
    </row>
    <row r="13" spans="1:9" s="330" customFormat="1" ht="12.75" customHeight="1" x14ac:dyDescent="0.25">
      <c r="A13" s="408"/>
      <c r="B13" s="409"/>
      <c r="C13" s="410"/>
      <c r="D13" s="412"/>
      <c r="E13" s="412">
        <f t="shared" si="0"/>
        <v>36600</v>
      </c>
      <c r="F13" s="422"/>
      <c r="G13" s="413">
        <f t="shared" si="1"/>
        <v>22700</v>
      </c>
      <c r="H13" s="413">
        <f t="shared" si="2"/>
        <v>13900</v>
      </c>
      <c r="I13" s="414"/>
    </row>
    <row r="14" spans="1:9" s="330" customFormat="1" ht="12.75" customHeight="1" x14ac:dyDescent="0.25">
      <c r="A14" s="408"/>
      <c r="B14" s="409"/>
      <c r="C14" s="410"/>
      <c r="D14" s="412"/>
      <c r="E14" s="412">
        <f t="shared" si="0"/>
        <v>36600</v>
      </c>
      <c r="F14" s="413"/>
      <c r="G14" s="413">
        <f t="shared" si="1"/>
        <v>22700</v>
      </c>
      <c r="H14" s="413">
        <f t="shared" si="2"/>
        <v>13900</v>
      </c>
      <c r="I14" s="414"/>
    </row>
    <row r="15" spans="1:9" s="330" customFormat="1" ht="12.75" customHeight="1" x14ac:dyDescent="0.25">
      <c r="A15" s="408"/>
      <c r="B15" s="409"/>
      <c r="C15" s="410"/>
      <c r="D15" s="412"/>
      <c r="E15" s="412">
        <f t="shared" si="0"/>
        <v>36600</v>
      </c>
      <c r="F15" s="422"/>
      <c r="G15" s="413">
        <f t="shared" si="1"/>
        <v>22700</v>
      </c>
      <c r="H15" s="413">
        <f t="shared" si="2"/>
        <v>13900</v>
      </c>
      <c r="I15" s="414"/>
    </row>
    <row r="16" spans="1:9" s="330" customFormat="1" ht="12.75" customHeight="1" x14ac:dyDescent="0.25">
      <c r="A16" s="408"/>
      <c r="B16" s="409"/>
      <c r="C16" s="410"/>
      <c r="D16" s="412"/>
      <c r="E16" s="412">
        <f t="shared" si="0"/>
        <v>36600</v>
      </c>
      <c r="F16" s="422"/>
      <c r="G16" s="413">
        <f t="shared" si="1"/>
        <v>22700</v>
      </c>
      <c r="H16" s="413">
        <f t="shared" si="2"/>
        <v>13900</v>
      </c>
      <c r="I16" s="414"/>
    </row>
    <row r="17" spans="1:9" s="330" customFormat="1" ht="12.75" customHeight="1" x14ac:dyDescent="0.25">
      <c r="A17" s="408"/>
      <c r="B17" s="409"/>
      <c r="C17" s="410"/>
      <c r="D17" s="412"/>
      <c r="E17" s="412">
        <f t="shared" si="0"/>
        <v>36600</v>
      </c>
      <c r="F17" s="422"/>
      <c r="G17" s="413">
        <f t="shared" si="1"/>
        <v>22700</v>
      </c>
      <c r="H17" s="413">
        <f t="shared" si="2"/>
        <v>13900</v>
      </c>
      <c r="I17" s="414"/>
    </row>
    <row r="18" spans="1:9" s="330" customFormat="1" ht="12.75" customHeight="1" x14ac:dyDescent="0.25">
      <c r="A18" s="408"/>
      <c r="B18" s="409"/>
      <c r="C18" s="410"/>
      <c r="D18" s="412"/>
      <c r="E18" s="412">
        <f t="shared" si="0"/>
        <v>36600</v>
      </c>
      <c r="F18" s="422"/>
      <c r="G18" s="413">
        <f t="shared" si="1"/>
        <v>22700</v>
      </c>
      <c r="H18" s="413">
        <f t="shared" si="2"/>
        <v>13900</v>
      </c>
      <c r="I18" s="414"/>
    </row>
    <row r="19" spans="1:9" s="330" customFormat="1" ht="12.75" customHeight="1" x14ac:dyDescent="0.25">
      <c r="A19" s="408"/>
      <c r="B19" s="409"/>
      <c r="C19" s="410"/>
      <c r="D19" s="412"/>
      <c r="E19" s="412">
        <f t="shared" si="0"/>
        <v>36600</v>
      </c>
      <c r="F19" s="413"/>
      <c r="G19" s="413">
        <f t="shared" si="1"/>
        <v>22700</v>
      </c>
      <c r="H19" s="413">
        <f t="shared" si="2"/>
        <v>13900</v>
      </c>
      <c r="I19" s="414"/>
    </row>
    <row r="20" spans="1:9" s="330" customFormat="1" ht="12.75" customHeight="1" x14ac:dyDescent="0.25">
      <c r="A20" s="408"/>
      <c r="B20" s="409"/>
      <c r="C20" s="410"/>
      <c r="D20" s="412"/>
      <c r="E20" s="412">
        <f t="shared" si="0"/>
        <v>36600</v>
      </c>
      <c r="F20" s="413"/>
      <c r="G20" s="413">
        <f t="shared" si="1"/>
        <v>22700</v>
      </c>
      <c r="H20" s="413">
        <f t="shared" si="2"/>
        <v>13900</v>
      </c>
      <c r="I20" s="414"/>
    </row>
    <row r="21" spans="1:9" s="330" customFormat="1" ht="12.75" customHeight="1" x14ac:dyDescent="0.25">
      <c r="A21" s="408"/>
      <c r="B21" s="409"/>
      <c r="C21" s="423"/>
      <c r="D21" s="412"/>
      <c r="E21" s="412">
        <f t="shared" si="0"/>
        <v>36600</v>
      </c>
      <c r="F21" s="413"/>
      <c r="G21" s="413">
        <f t="shared" si="1"/>
        <v>22700</v>
      </c>
      <c r="H21" s="413">
        <f t="shared" si="2"/>
        <v>13900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36600</v>
      </c>
      <c r="E23" s="426"/>
      <c r="F23" s="426">
        <f>SUM(F9:F22)</f>
        <v>22700</v>
      </c>
      <c r="G23" s="426"/>
      <c r="H23" s="426">
        <f>D23-F23</f>
        <v>13900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528</v>
      </c>
      <c r="D26" s="413">
        <v>18500</v>
      </c>
      <c r="E26" s="413"/>
      <c r="F26" s="413">
        <f>16650+1850</f>
        <v>18500</v>
      </c>
      <c r="G26" s="413"/>
      <c r="H26" s="413">
        <f>D26-F26</f>
        <v>0</v>
      </c>
      <c r="I26" s="414"/>
    </row>
    <row r="27" spans="1:9" s="330" customFormat="1" ht="12.75" customHeight="1" x14ac:dyDescent="0.25">
      <c r="A27" s="408"/>
      <c r="B27" s="410"/>
      <c r="C27" s="425" t="s">
        <v>1113</v>
      </c>
      <c r="D27" s="413">
        <v>4200</v>
      </c>
      <c r="E27" s="413"/>
      <c r="F27" s="413">
        <f>4200</f>
        <v>4200</v>
      </c>
      <c r="G27" s="413"/>
      <c r="H27" s="413">
        <f t="shared" ref="H27:H28" si="3">D27-F27</f>
        <v>0</v>
      </c>
      <c r="I27" s="414"/>
    </row>
    <row r="28" spans="1:9" s="330" customFormat="1" ht="12.75" customHeight="1" x14ac:dyDescent="0.25">
      <c r="A28" s="408"/>
      <c r="B28" s="410"/>
      <c r="C28" s="425" t="s">
        <v>150</v>
      </c>
      <c r="D28" s="413">
        <v>13900</v>
      </c>
      <c r="E28" s="413"/>
      <c r="F28" s="413"/>
      <c r="G28" s="413"/>
      <c r="H28" s="413">
        <f t="shared" si="3"/>
        <v>13900</v>
      </c>
      <c r="I28" s="414"/>
    </row>
    <row r="29" spans="1:9" s="330" customFormat="1" ht="12.75" customHeight="1" thickBot="1" x14ac:dyDescent="0.3">
      <c r="A29" s="408"/>
      <c r="B29" s="410"/>
      <c r="C29" s="424" t="s">
        <v>555</v>
      </c>
      <c r="D29" s="426">
        <f>SUM(D24:D28)</f>
        <v>36600</v>
      </c>
      <c r="E29" s="427"/>
      <c r="F29" s="426">
        <f>SUM(F24:F28)</f>
        <v>22700</v>
      </c>
      <c r="G29" s="427"/>
      <c r="H29" s="426">
        <f>SUM(H24:H28)</f>
        <v>13900</v>
      </c>
      <c r="I29" s="414"/>
    </row>
    <row r="30" spans="1:9" s="330" customFormat="1" ht="12.75" customHeight="1" thickTop="1" x14ac:dyDescent="0.25"/>
  </sheetData>
  <conditionalFormatting sqref="I9:I29">
    <cfRule type="cellIs" dxfId="5"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71">
    <pageSetUpPr fitToPage="1"/>
  </sheetPr>
  <dimension ref="A1:J41"/>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7"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78" t="str">
        <f>'RECAP #9475.00'!B1</f>
        <v>HHS CHMHI Fleet Garage Repairs</v>
      </c>
      <c r="B1" s="79"/>
      <c r="C1" s="79"/>
      <c r="D1" s="6"/>
      <c r="E1" s="6"/>
      <c r="F1" s="6"/>
      <c r="G1" s="124"/>
      <c r="H1" s="124"/>
      <c r="I1" s="125"/>
      <c r="J1" s="125"/>
    </row>
    <row r="2" spans="1:10" ht="15.75" x14ac:dyDescent="0.25">
      <c r="A2" s="81" t="str">
        <f>'RECAP #9475.00'!B2</f>
        <v>Project # 9475.00</v>
      </c>
      <c r="B2" s="80"/>
      <c r="C2" s="80"/>
      <c r="D2" s="6"/>
      <c r="E2" s="6"/>
      <c r="F2" s="6"/>
      <c r="G2" s="124"/>
      <c r="H2" s="124"/>
      <c r="I2" s="125"/>
      <c r="J2" s="125"/>
    </row>
    <row r="3" spans="1:10" ht="15.75" x14ac:dyDescent="0.25">
      <c r="A3" s="82" t="str">
        <f>'RECAP #9475.00'!B3</f>
        <v>Program code 947500</v>
      </c>
      <c r="B3" s="80"/>
      <c r="C3" s="80"/>
      <c r="D3" s="6"/>
      <c r="E3" s="83" t="str">
        <f>'RECAP #9475.00'!E3</f>
        <v>Major Program 4B02</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#9475.00'!B6</f>
        <v>Project Manager -  Jennie E.</v>
      </c>
      <c r="B6" s="86"/>
      <c r="C6" s="86"/>
      <c r="D6" s="135"/>
      <c r="E6" s="132" t="s">
        <v>671</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f>7500-1500</f>
        <v>6000</v>
      </c>
      <c r="F9" s="412">
        <f>E9</f>
        <v>6000</v>
      </c>
      <c r="G9" s="413"/>
      <c r="H9" s="413"/>
      <c r="I9" s="413">
        <f>F9</f>
        <v>6000</v>
      </c>
      <c r="J9" s="414"/>
    </row>
    <row r="10" spans="1:10" s="330" customFormat="1" ht="12.75" customHeight="1" x14ac:dyDescent="0.25">
      <c r="A10" s="456" t="s">
        <v>727</v>
      </c>
      <c r="B10" s="409">
        <v>45786</v>
      </c>
      <c r="C10" s="457">
        <v>2507</v>
      </c>
      <c r="D10" s="458" t="s">
        <v>729</v>
      </c>
      <c r="E10" s="412"/>
      <c r="F10" s="412">
        <f t="shared" ref="F10:F32" si="0">F9+E10</f>
        <v>6000</v>
      </c>
      <c r="G10" s="445">
        <f>25.82+34.36</f>
        <v>60.18</v>
      </c>
      <c r="H10" s="413">
        <f t="shared" ref="H10:H32" si="1">H9+G10</f>
        <v>60.18</v>
      </c>
      <c r="I10" s="413">
        <f t="shared" ref="I10:I32" si="2">I9-G10+E10</f>
        <v>5939.82</v>
      </c>
      <c r="J10" s="414"/>
    </row>
    <row r="11" spans="1:10" s="330" customFormat="1" ht="12.75" customHeight="1" x14ac:dyDescent="0.25">
      <c r="A11" s="456" t="s">
        <v>727</v>
      </c>
      <c r="B11" s="409">
        <v>45786</v>
      </c>
      <c r="C11" s="457">
        <v>9500</v>
      </c>
      <c r="D11" s="231" t="s">
        <v>730</v>
      </c>
      <c r="E11" s="412"/>
      <c r="F11" s="412">
        <f t="shared" si="0"/>
        <v>6000</v>
      </c>
      <c r="G11" s="445">
        <f>32.5+382.8</f>
        <v>415.3</v>
      </c>
      <c r="H11" s="413">
        <f t="shared" si="1"/>
        <v>475.48</v>
      </c>
      <c r="I11" s="413">
        <f t="shared" si="2"/>
        <v>5524.5199999999995</v>
      </c>
      <c r="J11" s="414"/>
    </row>
    <row r="12" spans="1:10" s="330" customFormat="1" ht="12.75" customHeight="1" x14ac:dyDescent="0.25">
      <c r="A12" s="456" t="s">
        <v>822</v>
      </c>
      <c r="B12" s="409">
        <v>45817</v>
      </c>
      <c r="C12" s="457">
        <v>2507</v>
      </c>
      <c r="D12" s="458" t="s">
        <v>823</v>
      </c>
      <c r="E12" s="412"/>
      <c r="F12" s="412">
        <f t="shared" si="0"/>
        <v>6000</v>
      </c>
      <c r="G12" s="445">
        <f>10.16+8.41</f>
        <v>18.57</v>
      </c>
      <c r="H12" s="413">
        <f t="shared" si="1"/>
        <v>494.05</v>
      </c>
      <c r="I12" s="413">
        <f t="shared" si="2"/>
        <v>5505.95</v>
      </c>
      <c r="J12" s="414"/>
    </row>
    <row r="13" spans="1:10" s="330" customFormat="1" ht="12.75" customHeight="1" x14ac:dyDescent="0.25">
      <c r="A13" s="456" t="s">
        <v>822</v>
      </c>
      <c r="B13" s="409">
        <v>45817</v>
      </c>
      <c r="C13" s="457">
        <v>9500</v>
      </c>
      <c r="D13" s="231" t="s">
        <v>824</v>
      </c>
      <c r="E13" s="412"/>
      <c r="F13" s="412">
        <f t="shared" si="0"/>
        <v>6000</v>
      </c>
      <c r="G13" s="445">
        <f>12+134.2</f>
        <v>146.19999999999999</v>
      </c>
      <c r="H13" s="413">
        <f t="shared" si="1"/>
        <v>640.25</v>
      </c>
      <c r="I13" s="413">
        <f t="shared" si="2"/>
        <v>5359.75</v>
      </c>
      <c r="J13" s="414"/>
    </row>
    <row r="14" spans="1:10" s="330" customFormat="1" ht="12.75" customHeight="1" x14ac:dyDescent="0.25">
      <c r="A14" s="456" t="s">
        <v>942</v>
      </c>
      <c r="B14" s="409">
        <v>45848</v>
      </c>
      <c r="C14" s="457">
        <v>2507</v>
      </c>
      <c r="D14" s="458" t="s">
        <v>943</v>
      </c>
      <c r="E14" s="412"/>
      <c r="F14" s="412">
        <f t="shared" si="0"/>
        <v>6000</v>
      </c>
      <c r="G14" s="445">
        <f>4.23+4.91</f>
        <v>9.14</v>
      </c>
      <c r="H14" s="413">
        <f t="shared" si="1"/>
        <v>649.39</v>
      </c>
      <c r="I14" s="413">
        <f t="shared" si="2"/>
        <v>5350.61</v>
      </c>
      <c r="J14" s="414"/>
    </row>
    <row r="15" spans="1:10" s="330" customFormat="1" ht="12.75" customHeight="1" x14ac:dyDescent="0.25">
      <c r="A15" s="456" t="s">
        <v>942</v>
      </c>
      <c r="B15" s="409">
        <v>45848</v>
      </c>
      <c r="C15" s="457">
        <v>9500</v>
      </c>
      <c r="D15" s="231" t="s">
        <v>944</v>
      </c>
      <c r="E15" s="412"/>
      <c r="F15" s="412">
        <f t="shared" si="0"/>
        <v>6000</v>
      </c>
      <c r="G15" s="445">
        <f>6+63.8</f>
        <v>69.8</v>
      </c>
      <c r="H15" s="413">
        <f t="shared" si="1"/>
        <v>719.18999999999994</v>
      </c>
      <c r="I15" s="413">
        <f t="shared" si="2"/>
        <v>5280.8099999999995</v>
      </c>
      <c r="J15" s="414"/>
    </row>
    <row r="16" spans="1:10" s="330" customFormat="1" ht="12.75" customHeight="1" x14ac:dyDescent="0.25">
      <c r="A16" s="456" t="s">
        <v>1009</v>
      </c>
      <c r="B16" s="409">
        <v>45876</v>
      </c>
      <c r="C16" s="457">
        <v>2507</v>
      </c>
      <c r="D16" s="458" t="s">
        <v>1010</v>
      </c>
      <c r="E16" s="412"/>
      <c r="F16" s="412">
        <f t="shared" si="0"/>
        <v>6000</v>
      </c>
      <c r="G16" s="445">
        <f>10.24+14.54</f>
        <v>24.78</v>
      </c>
      <c r="H16" s="413">
        <f t="shared" si="1"/>
        <v>743.96999999999991</v>
      </c>
      <c r="I16" s="413">
        <f t="shared" si="2"/>
        <v>5256.03</v>
      </c>
      <c r="J16" s="414"/>
    </row>
    <row r="17" spans="1:10" s="330" customFormat="1" ht="12.75" customHeight="1" x14ac:dyDescent="0.25">
      <c r="A17" s="456" t="s">
        <v>1009</v>
      </c>
      <c r="B17" s="409">
        <v>45876</v>
      </c>
      <c r="C17" s="457">
        <v>9500</v>
      </c>
      <c r="D17" s="231" t="s">
        <v>1011</v>
      </c>
      <c r="E17" s="412"/>
      <c r="F17" s="412">
        <f t="shared" si="0"/>
        <v>6000</v>
      </c>
      <c r="G17" s="445">
        <f>17+253</f>
        <v>270</v>
      </c>
      <c r="H17" s="413">
        <f t="shared" si="1"/>
        <v>1013.9699999999999</v>
      </c>
      <c r="I17" s="413">
        <f t="shared" si="2"/>
        <v>4986.03</v>
      </c>
      <c r="J17" s="414"/>
    </row>
    <row r="18" spans="1:10" s="330" customFormat="1" ht="12.75" customHeight="1" x14ac:dyDescent="0.25">
      <c r="A18" s="456" t="s">
        <v>1177</v>
      </c>
      <c r="B18" s="409">
        <v>45908</v>
      </c>
      <c r="C18" s="457">
        <v>2507</v>
      </c>
      <c r="D18" s="458" t="s">
        <v>1182</v>
      </c>
      <c r="E18" s="412"/>
      <c r="F18" s="412">
        <f t="shared" si="0"/>
        <v>6000</v>
      </c>
      <c r="G18" s="445">
        <v>114.08</v>
      </c>
      <c r="H18" s="413">
        <f t="shared" si="1"/>
        <v>1128.05</v>
      </c>
      <c r="I18" s="413">
        <f t="shared" si="2"/>
        <v>4871.95</v>
      </c>
      <c r="J18" s="414"/>
    </row>
    <row r="19" spans="1:10" s="330" customFormat="1" ht="12.75" customHeight="1" x14ac:dyDescent="0.25">
      <c r="A19" s="456" t="s">
        <v>1177</v>
      </c>
      <c r="B19" s="409">
        <v>45908</v>
      </c>
      <c r="C19" s="457">
        <v>9500</v>
      </c>
      <c r="D19" s="231" t="s">
        <v>1181</v>
      </c>
      <c r="E19" s="412"/>
      <c r="F19" s="412">
        <f t="shared" si="0"/>
        <v>6000</v>
      </c>
      <c r="G19" s="445">
        <v>875.8</v>
      </c>
      <c r="H19" s="413">
        <f t="shared" si="1"/>
        <v>2003.85</v>
      </c>
      <c r="I19" s="413">
        <f t="shared" si="2"/>
        <v>3996.1499999999996</v>
      </c>
      <c r="J19" s="414"/>
    </row>
    <row r="20" spans="1:10" s="330" customFormat="1" ht="12.75" customHeight="1" x14ac:dyDescent="0.25">
      <c r="A20" s="456" t="s">
        <v>1233</v>
      </c>
      <c r="B20" s="409">
        <v>45937</v>
      </c>
      <c r="C20" s="457" t="s">
        <v>1234</v>
      </c>
      <c r="D20" s="458" t="s">
        <v>1235</v>
      </c>
      <c r="E20" s="412"/>
      <c r="F20" s="412">
        <f t="shared" si="0"/>
        <v>6000</v>
      </c>
      <c r="G20" s="445">
        <v>209.73</v>
      </c>
      <c r="H20" s="413">
        <f t="shared" si="1"/>
        <v>2213.58</v>
      </c>
      <c r="I20" s="413">
        <f t="shared" si="2"/>
        <v>3786.4199999999996</v>
      </c>
      <c r="J20" s="414"/>
    </row>
    <row r="21" spans="1:10" s="330" customFormat="1" ht="12.75" customHeight="1" x14ac:dyDescent="0.25">
      <c r="A21" s="456" t="s">
        <v>1233</v>
      </c>
      <c r="B21" s="409">
        <v>45937</v>
      </c>
      <c r="C21" s="457">
        <v>9500</v>
      </c>
      <c r="D21" s="231" t="s">
        <v>1236</v>
      </c>
      <c r="E21" s="412"/>
      <c r="F21" s="412">
        <f t="shared" si="0"/>
        <v>6000</v>
      </c>
      <c r="G21" s="445">
        <v>1078.8</v>
      </c>
      <c r="H21" s="413">
        <f t="shared" si="1"/>
        <v>3292.38</v>
      </c>
      <c r="I21" s="413">
        <f t="shared" si="2"/>
        <v>2707.62</v>
      </c>
      <c r="J21" s="414"/>
    </row>
    <row r="22" spans="1:10" s="330" customFormat="1" ht="12.75" customHeight="1" x14ac:dyDescent="0.25">
      <c r="A22" s="456" t="s">
        <v>1322</v>
      </c>
      <c r="B22" s="409">
        <v>45968</v>
      </c>
      <c r="C22" s="457" t="s">
        <v>1234</v>
      </c>
      <c r="D22" s="458" t="s">
        <v>1327</v>
      </c>
      <c r="E22" s="412"/>
      <c r="F22" s="412">
        <f t="shared" si="0"/>
        <v>6000</v>
      </c>
      <c r="G22" s="445">
        <v>60.38</v>
      </c>
      <c r="H22" s="413">
        <f t="shared" si="1"/>
        <v>3352.76</v>
      </c>
      <c r="I22" s="413">
        <f t="shared" si="2"/>
        <v>2647.24</v>
      </c>
      <c r="J22" s="414"/>
    </row>
    <row r="23" spans="1:10" s="330" customFormat="1" ht="12.75" customHeight="1" x14ac:dyDescent="0.25">
      <c r="A23" s="456" t="s">
        <v>1322</v>
      </c>
      <c r="B23" s="409">
        <v>45968</v>
      </c>
      <c r="C23" s="457">
        <v>9500</v>
      </c>
      <c r="D23" s="231" t="s">
        <v>1326</v>
      </c>
      <c r="E23" s="412"/>
      <c r="F23" s="412">
        <f t="shared" si="0"/>
        <v>6000</v>
      </c>
      <c r="G23" s="445">
        <v>598.9</v>
      </c>
      <c r="H23" s="413">
        <f t="shared" si="1"/>
        <v>3951.6600000000003</v>
      </c>
      <c r="I23" s="413">
        <f t="shared" si="2"/>
        <v>2048.3399999999997</v>
      </c>
      <c r="J23" s="414"/>
    </row>
    <row r="24" spans="1:10" s="330" customFormat="1" ht="12.75" customHeight="1" x14ac:dyDescent="0.25">
      <c r="A24" s="456" t="s">
        <v>1423</v>
      </c>
      <c r="B24" s="409">
        <v>45996</v>
      </c>
      <c r="C24" s="412" t="s">
        <v>1234</v>
      </c>
      <c r="D24" s="458" t="s">
        <v>1424</v>
      </c>
      <c r="E24" s="412"/>
      <c r="F24" s="412">
        <f t="shared" si="0"/>
        <v>6000</v>
      </c>
      <c r="G24" s="445">
        <v>62.35</v>
      </c>
      <c r="H24" s="413">
        <f t="shared" si="1"/>
        <v>4014.01</v>
      </c>
      <c r="I24" s="413">
        <f t="shared" si="2"/>
        <v>1985.9899999999998</v>
      </c>
      <c r="J24" s="414"/>
    </row>
    <row r="25" spans="1:10" s="330" customFormat="1" ht="12.75" customHeight="1" x14ac:dyDescent="0.25">
      <c r="A25" s="456" t="s">
        <v>1423</v>
      </c>
      <c r="B25" s="409">
        <v>45996</v>
      </c>
      <c r="C25" s="484">
        <v>9500</v>
      </c>
      <c r="D25" s="231" t="s">
        <v>1425</v>
      </c>
      <c r="E25" s="412"/>
      <c r="F25" s="412">
        <f t="shared" si="0"/>
        <v>6000</v>
      </c>
      <c r="G25" s="445">
        <v>399.7</v>
      </c>
      <c r="H25" s="413">
        <f t="shared" si="1"/>
        <v>4413.71</v>
      </c>
      <c r="I25" s="413">
        <f t="shared" si="2"/>
        <v>1586.2899999999997</v>
      </c>
      <c r="J25" s="414"/>
    </row>
    <row r="26" spans="1:10" s="330" customFormat="1" ht="12.75" customHeight="1" x14ac:dyDescent="0.2">
      <c r="A26" s="169" t="s">
        <v>1482</v>
      </c>
      <c r="B26" s="145">
        <v>46030</v>
      </c>
      <c r="C26" s="147" t="s">
        <v>1234</v>
      </c>
      <c r="D26" s="222" t="s">
        <v>1483</v>
      </c>
      <c r="E26" s="412"/>
      <c r="F26" s="412">
        <f t="shared" si="0"/>
        <v>6000</v>
      </c>
      <c r="G26" s="445">
        <v>48.97</v>
      </c>
      <c r="H26" s="413">
        <f t="shared" si="1"/>
        <v>4462.68</v>
      </c>
      <c r="I26" s="413">
        <f t="shared" si="2"/>
        <v>1537.3199999999997</v>
      </c>
      <c r="J26" s="414"/>
    </row>
    <row r="27" spans="1:10" s="330" customFormat="1" ht="12.75" customHeight="1" x14ac:dyDescent="0.2">
      <c r="A27" s="169" t="s">
        <v>1482</v>
      </c>
      <c r="B27" s="145">
        <v>46030</v>
      </c>
      <c r="C27" s="346">
        <v>9500</v>
      </c>
      <c r="D27" s="119" t="s">
        <v>1484</v>
      </c>
      <c r="E27" s="412"/>
      <c r="F27" s="412">
        <f t="shared" si="0"/>
        <v>6000</v>
      </c>
      <c r="G27" s="445">
        <v>556.6</v>
      </c>
      <c r="H27" s="413">
        <f t="shared" si="1"/>
        <v>5019.2800000000007</v>
      </c>
      <c r="I27" s="413">
        <f t="shared" si="2"/>
        <v>980.71999999999969</v>
      </c>
      <c r="J27" s="414"/>
    </row>
    <row r="28" spans="1:10" s="330" customFormat="1" ht="12.75" customHeight="1" x14ac:dyDescent="0.2">
      <c r="A28" s="169" t="s">
        <v>1545</v>
      </c>
      <c r="B28" s="145">
        <v>46062</v>
      </c>
      <c r="C28" s="147" t="s">
        <v>1234</v>
      </c>
      <c r="D28" s="222" t="s">
        <v>1546</v>
      </c>
      <c r="E28" s="412"/>
      <c r="F28" s="412">
        <f t="shared" si="0"/>
        <v>6000</v>
      </c>
      <c r="G28" s="445">
        <v>24.26</v>
      </c>
      <c r="H28" s="413">
        <f t="shared" si="1"/>
        <v>5043.5400000000009</v>
      </c>
      <c r="I28" s="413">
        <f t="shared" si="2"/>
        <v>956.4599999999997</v>
      </c>
      <c r="J28" s="414"/>
    </row>
    <row r="29" spans="1:10" s="330" customFormat="1" ht="12.75" customHeight="1" x14ac:dyDescent="0.2">
      <c r="A29" s="169" t="s">
        <v>1545</v>
      </c>
      <c r="B29" s="145">
        <v>46062</v>
      </c>
      <c r="C29" s="346">
        <v>9500</v>
      </c>
      <c r="D29" s="119" t="s">
        <v>1547</v>
      </c>
      <c r="E29" s="412"/>
      <c r="F29" s="412">
        <f t="shared" si="0"/>
        <v>6000</v>
      </c>
      <c r="G29" s="445">
        <v>306.2</v>
      </c>
      <c r="H29" s="413">
        <f t="shared" si="1"/>
        <v>5349.7400000000007</v>
      </c>
      <c r="I29" s="413">
        <f t="shared" si="2"/>
        <v>650.25999999999976</v>
      </c>
      <c r="J29" s="414"/>
    </row>
    <row r="30" spans="1:10" s="330" customFormat="1" ht="12.75" customHeight="1" x14ac:dyDescent="0.2">
      <c r="A30" s="169"/>
      <c r="B30" s="145"/>
      <c r="C30" s="346"/>
      <c r="D30" s="119"/>
      <c r="E30" s="412"/>
      <c r="F30" s="412">
        <f t="shared" si="0"/>
        <v>6000</v>
      </c>
      <c r="G30" s="445"/>
      <c r="H30" s="413">
        <f t="shared" si="1"/>
        <v>5349.7400000000007</v>
      </c>
      <c r="I30" s="413">
        <f t="shared" si="2"/>
        <v>650.25999999999976</v>
      </c>
      <c r="J30" s="414"/>
    </row>
    <row r="31" spans="1:10" s="330" customFormat="1" ht="12.75" customHeight="1" x14ac:dyDescent="0.2">
      <c r="A31" s="169"/>
      <c r="B31" s="145"/>
      <c r="C31" s="346"/>
      <c r="D31" s="119"/>
      <c r="E31" s="412"/>
      <c r="F31" s="412">
        <f t="shared" si="0"/>
        <v>6000</v>
      </c>
      <c r="G31" s="445"/>
      <c r="H31" s="413">
        <f t="shared" si="1"/>
        <v>5349.7400000000007</v>
      </c>
      <c r="I31" s="413">
        <f t="shared" si="2"/>
        <v>650.25999999999976</v>
      </c>
      <c r="J31" s="414"/>
    </row>
    <row r="32" spans="1:10" s="330" customFormat="1" ht="12.75" customHeight="1" x14ac:dyDescent="0.25">
      <c r="A32" s="231"/>
      <c r="B32" s="409"/>
      <c r="C32" s="457"/>
      <c r="D32" s="459"/>
      <c r="E32" s="412"/>
      <c r="F32" s="412">
        <f t="shared" si="0"/>
        <v>6000</v>
      </c>
      <c r="G32" s="422"/>
      <c r="H32" s="413">
        <f t="shared" si="1"/>
        <v>5349.7400000000007</v>
      </c>
      <c r="I32" s="413">
        <f t="shared" si="2"/>
        <v>650.25999999999976</v>
      </c>
      <c r="J32" s="414"/>
    </row>
    <row r="33" spans="1:10" s="330" customFormat="1" ht="12.75" customHeight="1" x14ac:dyDescent="0.25">
      <c r="A33" s="231"/>
      <c r="B33" s="410"/>
      <c r="C33" s="457"/>
      <c r="D33" s="425"/>
      <c r="E33" s="413"/>
      <c r="F33" s="413"/>
      <c r="G33" s="413"/>
      <c r="H33" s="413"/>
      <c r="I33" s="413"/>
      <c r="J33" s="414"/>
    </row>
    <row r="34" spans="1:10" s="330" customFormat="1" ht="12.75" customHeight="1" thickBot="1" x14ac:dyDescent="0.3">
      <c r="A34" s="231"/>
      <c r="B34" s="449"/>
      <c r="C34" s="457"/>
      <c r="D34" s="450" t="s">
        <v>54</v>
      </c>
      <c r="E34" s="426">
        <f>SUM(E9:E33)</f>
        <v>6000</v>
      </c>
      <c r="F34" s="426"/>
      <c r="G34" s="426">
        <f>SUM(G9:G33)</f>
        <v>5349.7400000000007</v>
      </c>
      <c r="H34" s="426"/>
      <c r="I34" s="426">
        <f>E34-G34</f>
        <v>650.25999999999931</v>
      </c>
      <c r="J34" s="414"/>
    </row>
    <row r="35" spans="1:10" s="330" customFormat="1" ht="12.75" customHeight="1" thickTop="1" x14ac:dyDescent="0.25"/>
    <row r="36" spans="1:10" s="330" customFormat="1" ht="12.75" customHeight="1" x14ac:dyDescent="0.25"/>
    <row r="37" spans="1:10" s="330" customFormat="1" ht="12.75" customHeight="1" x14ac:dyDescent="0.25"/>
    <row r="38" spans="1:10" s="330" customFormat="1" ht="12.75" customHeight="1" x14ac:dyDescent="0.25"/>
    <row r="39" spans="1:10" s="330" customFormat="1" ht="12.75" customHeight="1" x14ac:dyDescent="0.25"/>
    <row r="40" spans="1:10" s="330" customFormat="1" ht="12.75" customHeight="1" x14ac:dyDescent="0.25"/>
    <row r="41" spans="1:10"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72">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7.7109375" customWidth="1"/>
    <col min="7" max="7" width="12.42578125" customWidth="1"/>
    <col min="8" max="8" width="15.42578125" customWidth="1"/>
  </cols>
  <sheetData>
    <row r="1" spans="1:8" ht="15.75" x14ac:dyDescent="0.25">
      <c r="A1" s="78" t="str">
        <f>'RECAP #9475.00'!B1</f>
        <v>HHS CHMHI Fleet Garage Repairs</v>
      </c>
      <c r="B1" s="79"/>
      <c r="C1" s="79"/>
      <c r="D1" s="79"/>
      <c r="E1" s="6"/>
      <c r="F1" s="6"/>
      <c r="G1" s="6"/>
      <c r="H1" s="124"/>
    </row>
    <row r="2" spans="1:8" ht="15.75" x14ac:dyDescent="0.25">
      <c r="A2" s="81" t="str">
        <f>'RECAP #9475.00'!B2</f>
        <v>Project # 9475.00</v>
      </c>
      <c r="B2" s="80"/>
      <c r="C2" s="80"/>
      <c r="D2" s="80"/>
      <c r="E2" s="6"/>
      <c r="F2" s="6"/>
      <c r="G2" s="6"/>
      <c r="H2" s="124"/>
    </row>
    <row r="3" spans="1:8" ht="15.75" x14ac:dyDescent="0.25">
      <c r="A3" s="82" t="str">
        <f>'RECAP #9475.00'!B3</f>
        <v>Program code 947500</v>
      </c>
      <c r="B3" s="80"/>
      <c r="C3" s="80"/>
      <c r="D3" s="80"/>
      <c r="E3" s="83" t="str">
        <f>'RECAP #9475.00'!E3</f>
        <v>Major Program 4B02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#9475.00'!B6</f>
        <v>Project Manager -  Jennie E.</v>
      </c>
      <c r="B6" s="86"/>
      <c r="C6" s="86"/>
      <c r="D6" s="86"/>
      <c r="E6" s="83" t="s">
        <v>1114</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59" t="s">
        <v>1384</v>
      </c>
      <c r="B9" s="483">
        <v>45995</v>
      </c>
      <c r="C9" s="457">
        <v>9500</v>
      </c>
      <c r="D9" s="484" t="s">
        <v>322</v>
      </c>
      <c r="E9" s="408" t="s">
        <v>696</v>
      </c>
      <c r="F9" s="485" t="s">
        <v>1383</v>
      </c>
      <c r="G9" s="445">
        <v>220.36</v>
      </c>
      <c r="H9" s="461">
        <f>G9</f>
        <v>220.36</v>
      </c>
    </row>
    <row r="10" spans="1:8" s="330" customFormat="1" ht="12.75" customHeight="1" x14ac:dyDescent="0.25">
      <c r="A10" s="408" t="s">
        <v>1405</v>
      </c>
      <c r="B10" s="483">
        <v>46003</v>
      </c>
      <c r="C10" s="457">
        <v>9500</v>
      </c>
      <c r="D10" s="484" t="s">
        <v>322</v>
      </c>
      <c r="E10" s="408" t="s">
        <v>1104</v>
      </c>
      <c r="F10" s="381" t="s">
        <v>1404</v>
      </c>
      <c r="G10" s="445">
        <v>1200.5</v>
      </c>
      <c r="H10" s="461">
        <f>H9+G10</f>
        <v>1420.8600000000001</v>
      </c>
    </row>
    <row r="11" spans="1:8" s="330" customFormat="1" ht="12.75" customHeight="1" x14ac:dyDescent="0.25">
      <c r="A11" s="408"/>
      <c r="B11" s="483"/>
      <c r="C11" s="487"/>
      <c r="D11" s="423"/>
      <c r="E11" s="459"/>
      <c r="F11" s="381"/>
      <c r="G11" s="461"/>
      <c r="H11" s="461">
        <f t="shared" ref="H11:H20" si="0">H10+G11</f>
        <v>1420.8600000000001</v>
      </c>
    </row>
    <row r="12" spans="1:8" s="330" customFormat="1" ht="12.75" customHeight="1" x14ac:dyDescent="0.25">
      <c r="A12" s="408" t="s">
        <v>3</v>
      </c>
      <c r="B12" s="483" t="s">
        <v>3</v>
      </c>
      <c r="C12" s="487"/>
      <c r="D12" s="423"/>
      <c r="E12" s="459"/>
      <c r="F12" s="381"/>
      <c r="G12" s="461"/>
      <c r="H12" s="461">
        <f t="shared" si="0"/>
        <v>1420.8600000000001</v>
      </c>
    </row>
    <row r="13" spans="1:8" s="330" customFormat="1" ht="12.75" customHeight="1" x14ac:dyDescent="0.25">
      <c r="A13" s="408" t="s">
        <v>3</v>
      </c>
      <c r="B13" s="483" t="s">
        <v>3</v>
      </c>
      <c r="C13" s="487"/>
      <c r="D13" s="423"/>
      <c r="E13" s="459" t="s">
        <v>3</v>
      </c>
      <c r="F13" s="381"/>
      <c r="G13" s="461"/>
      <c r="H13" s="461">
        <f t="shared" si="0"/>
        <v>1420.8600000000001</v>
      </c>
    </row>
    <row r="14" spans="1:8" s="330" customFormat="1" ht="12.75" customHeight="1" x14ac:dyDescent="0.25">
      <c r="A14" s="408"/>
      <c r="B14" s="483"/>
      <c r="C14" s="487"/>
      <c r="D14" s="423"/>
      <c r="E14" s="459"/>
      <c r="F14" s="381"/>
      <c r="G14" s="461"/>
      <c r="H14" s="461">
        <f t="shared" si="0"/>
        <v>1420.8600000000001</v>
      </c>
    </row>
    <row r="15" spans="1:8" s="330" customFormat="1" ht="12.75" customHeight="1" x14ac:dyDescent="0.25">
      <c r="A15" s="408"/>
      <c r="B15" s="483"/>
      <c r="C15" s="487"/>
      <c r="D15" s="423"/>
      <c r="E15" s="464"/>
      <c r="F15" s="381"/>
      <c r="G15" s="461"/>
      <c r="H15" s="461">
        <f t="shared" si="0"/>
        <v>1420.8600000000001</v>
      </c>
    </row>
    <row r="16" spans="1:8" s="330" customFormat="1" ht="12.75" customHeight="1" x14ac:dyDescent="0.25">
      <c r="A16" s="408"/>
      <c r="B16" s="483"/>
      <c r="C16" s="487"/>
      <c r="D16" s="423"/>
      <c r="E16" s="459"/>
      <c r="F16" s="381"/>
      <c r="G16" s="461"/>
      <c r="H16" s="461">
        <f t="shared" si="0"/>
        <v>1420.8600000000001</v>
      </c>
    </row>
    <row r="17" spans="1:8" s="330" customFormat="1" ht="12.75" customHeight="1" x14ac:dyDescent="0.25">
      <c r="A17" s="408"/>
      <c r="B17" s="483"/>
      <c r="C17" s="487"/>
      <c r="D17" s="423"/>
      <c r="E17" s="459"/>
      <c r="F17" s="381"/>
      <c r="G17" s="461"/>
      <c r="H17" s="461">
        <f t="shared" si="0"/>
        <v>1420.8600000000001</v>
      </c>
    </row>
    <row r="18" spans="1:8" s="330" customFormat="1" ht="12.75" customHeight="1" x14ac:dyDescent="0.25">
      <c r="A18" s="408"/>
      <c r="B18" s="483"/>
      <c r="C18" s="487"/>
      <c r="D18" s="423"/>
      <c r="E18" s="459"/>
      <c r="F18" s="381"/>
      <c r="G18" s="461"/>
      <c r="H18" s="461">
        <f t="shared" si="0"/>
        <v>1420.8600000000001</v>
      </c>
    </row>
    <row r="19" spans="1:8" s="330" customFormat="1" ht="12.75" customHeight="1" x14ac:dyDescent="0.25">
      <c r="A19" s="408"/>
      <c r="B19" s="483"/>
      <c r="C19" s="487"/>
      <c r="D19" s="423"/>
      <c r="E19" s="459"/>
      <c r="F19" s="381"/>
      <c r="G19" s="461"/>
      <c r="H19" s="461">
        <f t="shared" si="0"/>
        <v>1420.8600000000001</v>
      </c>
    </row>
    <row r="20" spans="1:8" s="330" customFormat="1" ht="12.75" customHeight="1" x14ac:dyDescent="0.25">
      <c r="A20" s="408"/>
      <c r="B20" s="483"/>
      <c r="C20" s="487"/>
      <c r="D20" s="423"/>
      <c r="E20" s="459"/>
      <c r="F20" s="381"/>
      <c r="G20" s="461"/>
      <c r="H20" s="461">
        <f t="shared" si="0"/>
        <v>1420.8600000000001</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54</v>
      </c>
      <c r="F22" s="467"/>
      <c r="G22" s="426">
        <f>SUM(G9:G21)</f>
        <v>1420.8600000000001</v>
      </c>
      <c r="H22" s="467"/>
    </row>
    <row r="23" spans="1:8" s="330"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37E-7270-4FA4-9F41-0E2EF55F8F8E}">
  <sheetPr codeName="Sheet173">
    <tabColor rgb="FF0070C0"/>
    <pageSetUpPr fitToPage="1"/>
  </sheetPr>
  <dimension ref="A1:I31"/>
  <sheetViews>
    <sheetView tabSelected="1" topLeftCell="A4"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30" style="282" bestFit="1" customWidth="1"/>
    <col min="4" max="4" width="14.42578125" style="282" customWidth="1"/>
    <col min="5" max="5" width="13.5703125" style="282" customWidth="1"/>
    <col min="6" max="6" width="12.42578125" style="282" customWidth="1"/>
    <col min="7" max="7" width="10.5703125" style="282" customWidth="1"/>
    <col min="8" max="8" width="11.28515625" style="282" bestFit="1" customWidth="1"/>
    <col min="9" max="9" width="6.42578125" style="282" bestFit="1" customWidth="1"/>
    <col min="10" max="16384" width="11.42578125" style="282"/>
  </cols>
  <sheetData>
    <row r="1" spans="1:9" ht="15.75" x14ac:dyDescent="0.25">
      <c r="A1" s="109" t="str">
        <f>'RECAP #9475.00'!B1</f>
        <v>HHS CHMHI Fleet Garage Repairs</v>
      </c>
      <c r="B1" s="109"/>
      <c r="C1" s="179"/>
      <c r="D1" s="179"/>
      <c r="E1" s="179"/>
      <c r="F1" s="180"/>
      <c r="G1" s="180"/>
      <c r="H1" s="181"/>
      <c r="I1" s="181"/>
    </row>
    <row r="2" spans="1:9" ht="15.75" x14ac:dyDescent="0.25">
      <c r="A2" s="126" t="str">
        <f>'RECAP #9475.00'!B2</f>
        <v>Project # 9475.00</v>
      </c>
      <c r="B2" s="182"/>
      <c r="C2" s="179"/>
      <c r="D2" s="179"/>
      <c r="E2" s="179"/>
      <c r="F2" s="180"/>
      <c r="G2" s="180"/>
      <c r="H2" s="181"/>
      <c r="I2" s="181"/>
    </row>
    <row r="3" spans="1:9" ht="15.75" x14ac:dyDescent="0.25">
      <c r="A3" s="183" t="str">
        <f>'RECAP #9475.00'!B3</f>
        <v>Program code 947500</v>
      </c>
      <c r="B3" s="182"/>
      <c r="C3" s="179"/>
      <c r="D3" s="184" t="str">
        <f>'RECAP #9475.00'!E3</f>
        <v>Major Program 4B02</v>
      </c>
      <c r="E3" s="179"/>
      <c r="F3" s="180"/>
      <c r="G3" s="180"/>
      <c r="H3" s="181"/>
      <c r="I3" s="181"/>
    </row>
    <row r="4" spans="1:9" ht="15.75" x14ac:dyDescent="0.25">
      <c r="A4" s="109" t="s">
        <v>151</v>
      </c>
      <c r="B4" s="126"/>
      <c r="C4" s="181"/>
      <c r="D4" s="185" t="s">
        <v>152</v>
      </c>
      <c r="E4" s="180"/>
      <c r="F4" s="180"/>
      <c r="G4" s="180"/>
      <c r="H4" s="181"/>
      <c r="I4" s="181"/>
    </row>
    <row r="5" spans="1:9" ht="15.75" x14ac:dyDescent="0.25">
      <c r="A5" s="186" t="s">
        <v>109</v>
      </c>
      <c r="B5" s="181"/>
      <c r="C5" s="187"/>
      <c r="D5" s="132" t="s">
        <v>153</v>
      </c>
      <c r="E5" s="137"/>
      <c r="F5" s="180"/>
      <c r="G5" s="180"/>
      <c r="H5" s="181"/>
      <c r="I5" s="181"/>
    </row>
    <row r="6" spans="1:9" ht="15.75" x14ac:dyDescent="0.25">
      <c r="A6" s="126" t="str">
        <f>'RECAP #9475.00'!B6</f>
        <v>Project Manager -  Jennie E.</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1206</v>
      </c>
      <c r="B9" s="500">
        <v>45923</v>
      </c>
      <c r="C9" s="501" t="s">
        <v>107</v>
      </c>
      <c r="D9" s="404">
        <v>19897.150000000001</v>
      </c>
      <c r="E9" s="502">
        <f>D9</f>
        <v>19897.150000000001</v>
      </c>
      <c r="F9" s="503"/>
      <c r="G9" s="503"/>
      <c r="H9" s="503">
        <f>E9</f>
        <v>19897.150000000001</v>
      </c>
      <c r="I9" s="504"/>
    </row>
    <row r="10" spans="1:9" s="361" customFormat="1" ht="12.75" customHeight="1" x14ac:dyDescent="0.25">
      <c r="A10" s="499" t="s">
        <v>1245</v>
      </c>
      <c r="B10" s="365">
        <v>45940</v>
      </c>
      <c r="C10" s="501" t="s">
        <v>1246</v>
      </c>
      <c r="D10" s="502"/>
      <c r="E10" s="502">
        <f t="shared" ref="E10:E21" si="0">E9+D10</f>
        <v>19897.150000000001</v>
      </c>
      <c r="F10" s="406">
        <v>2106.8200000000002</v>
      </c>
      <c r="G10" s="503">
        <f t="shared" ref="G10:G21" si="1">G9+F10</f>
        <v>2106.8200000000002</v>
      </c>
      <c r="H10" s="503">
        <f t="shared" ref="H10:H21" si="2">H9-F10+D10</f>
        <v>17790.330000000002</v>
      </c>
      <c r="I10" s="504"/>
    </row>
    <row r="11" spans="1:9" s="361" customFormat="1" ht="12.75" customHeight="1" x14ac:dyDescent="0.25">
      <c r="A11" s="499" t="s">
        <v>1359</v>
      </c>
      <c r="B11" s="500">
        <v>45979</v>
      </c>
      <c r="C11" s="501" t="s">
        <v>1360</v>
      </c>
      <c r="D11" s="502"/>
      <c r="E11" s="502">
        <f t="shared" si="0"/>
        <v>19897.150000000001</v>
      </c>
      <c r="F11" s="406">
        <v>3844.93</v>
      </c>
      <c r="G11" s="503">
        <f t="shared" si="1"/>
        <v>5951.75</v>
      </c>
      <c r="H11" s="503">
        <f t="shared" si="2"/>
        <v>13945.400000000001</v>
      </c>
      <c r="I11" s="504"/>
    </row>
    <row r="12" spans="1:9" s="361" customFormat="1" ht="12.75" customHeight="1" x14ac:dyDescent="0.25">
      <c r="A12" s="499" t="s">
        <v>1435</v>
      </c>
      <c r="B12" s="500">
        <v>46013</v>
      </c>
      <c r="C12" s="501" t="s">
        <v>1436</v>
      </c>
      <c r="D12" s="502"/>
      <c r="E12" s="502">
        <f t="shared" si="0"/>
        <v>19897.150000000001</v>
      </c>
      <c r="F12" s="406">
        <v>4394.5200000000004</v>
      </c>
      <c r="G12" s="503">
        <f t="shared" si="1"/>
        <v>10346.27</v>
      </c>
      <c r="H12" s="503">
        <f t="shared" si="2"/>
        <v>9550.880000000001</v>
      </c>
      <c r="I12" s="504"/>
    </row>
    <row r="13" spans="1:9" s="361" customFormat="1" ht="12.75" customHeight="1" x14ac:dyDescent="0.25">
      <c r="A13" s="499" t="s">
        <v>1513</v>
      </c>
      <c r="B13" s="500">
        <v>46043</v>
      </c>
      <c r="C13" s="501" t="s">
        <v>1514</v>
      </c>
      <c r="D13" s="512">
        <v>-7263</v>
      </c>
      <c r="E13" s="502">
        <f t="shared" si="0"/>
        <v>12634.150000000001</v>
      </c>
      <c r="F13" s="406">
        <v>2287.88</v>
      </c>
      <c r="G13" s="503">
        <f t="shared" si="1"/>
        <v>12634.150000000001</v>
      </c>
      <c r="H13" s="503">
        <f t="shared" si="2"/>
        <v>0</v>
      </c>
      <c r="I13" s="504"/>
    </row>
    <row r="14" spans="1:9" s="361" customFormat="1" ht="12.75" customHeight="1" x14ac:dyDescent="0.25">
      <c r="A14" s="499"/>
      <c r="B14" s="500"/>
      <c r="C14" s="501"/>
      <c r="D14" s="502"/>
      <c r="E14" s="502">
        <f t="shared" si="0"/>
        <v>12634.150000000001</v>
      </c>
      <c r="F14" s="503"/>
      <c r="G14" s="503">
        <f t="shared" si="1"/>
        <v>12634.150000000001</v>
      </c>
      <c r="H14" s="503">
        <f t="shared" si="2"/>
        <v>0</v>
      </c>
      <c r="I14" s="504"/>
    </row>
    <row r="15" spans="1:9" s="361" customFormat="1" ht="12.75" customHeight="1" x14ac:dyDescent="0.25">
      <c r="A15" s="499"/>
      <c r="B15" s="500"/>
      <c r="C15" s="501"/>
      <c r="D15" s="502"/>
      <c r="E15" s="502">
        <f t="shared" si="0"/>
        <v>12634.150000000001</v>
      </c>
      <c r="F15" s="406"/>
      <c r="G15" s="503">
        <f t="shared" si="1"/>
        <v>12634.150000000001</v>
      </c>
      <c r="H15" s="503">
        <f t="shared" si="2"/>
        <v>0</v>
      </c>
      <c r="I15" s="504"/>
    </row>
    <row r="16" spans="1:9" s="361" customFormat="1" ht="12.75" customHeight="1" x14ac:dyDescent="0.25">
      <c r="A16" s="499"/>
      <c r="B16" s="500"/>
      <c r="C16" s="501"/>
      <c r="D16" s="502"/>
      <c r="E16" s="502">
        <f t="shared" si="0"/>
        <v>12634.150000000001</v>
      </c>
      <c r="F16" s="406"/>
      <c r="G16" s="503">
        <f t="shared" si="1"/>
        <v>12634.150000000001</v>
      </c>
      <c r="H16" s="503">
        <f t="shared" si="2"/>
        <v>0</v>
      </c>
      <c r="I16" s="504"/>
    </row>
    <row r="17" spans="1:9" s="361" customFormat="1" ht="12.75" customHeight="1" x14ac:dyDescent="0.25">
      <c r="A17" s="499"/>
      <c r="B17" s="500"/>
      <c r="C17" s="501"/>
      <c r="D17" s="502"/>
      <c r="E17" s="502">
        <f t="shared" si="0"/>
        <v>12634.150000000001</v>
      </c>
      <c r="F17" s="406"/>
      <c r="G17" s="503">
        <f t="shared" si="1"/>
        <v>12634.150000000001</v>
      </c>
      <c r="H17" s="503">
        <f t="shared" si="2"/>
        <v>0</v>
      </c>
      <c r="I17" s="504"/>
    </row>
    <row r="18" spans="1:9" s="361" customFormat="1" ht="12.75" customHeight="1" x14ac:dyDescent="0.25">
      <c r="A18" s="499"/>
      <c r="B18" s="500"/>
      <c r="C18" s="501"/>
      <c r="D18" s="502"/>
      <c r="E18" s="502">
        <f t="shared" si="0"/>
        <v>12634.150000000001</v>
      </c>
      <c r="F18" s="406"/>
      <c r="G18" s="503">
        <f t="shared" si="1"/>
        <v>12634.150000000001</v>
      </c>
      <c r="H18" s="503">
        <f t="shared" si="2"/>
        <v>0</v>
      </c>
      <c r="I18" s="504"/>
    </row>
    <row r="19" spans="1:9" s="361" customFormat="1" ht="12.75" customHeight="1" x14ac:dyDescent="0.25">
      <c r="A19" s="499"/>
      <c r="B19" s="500"/>
      <c r="C19" s="501"/>
      <c r="D19" s="502"/>
      <c r="E19" s="502">
        <f t="shared" si="0"/>
        <v>12634.150000000001</v>
      </c>
      <c r="F19" s="503"/>
      <c r="G19" s="503">
        <f t="shared" si="1"/>
        <v>12634.150000000001</v>
      </c>
      <c r="H19" s="503">
        <f t="shared" si="2"/>
        <v>0</v>
      </c>
      <c r="I19" s="504"/>
    </row>
    <row r="20" spans="1:9" s="361" customFormat="1" ht="12.75" customHeight="1" x14ac:dyDescent="0.25">
      <c r="A20" s="499"/>
      <c r="B20" s="500"/>
      <c r="C20" s="501"/>
      <c r="D20" s="502"/>
      <c r="E20" s="502">
        <f t="shared" si="0"/>
        <v>12634.150000000001</v>
      </c>
      <c r="F20" s="503"/>
      <c r="G20" s="503">
        <f t="shared" si="1"/>
        <v>12634.150000000001</v>
      </c>
      <c r="H20" s="503">
        <f t="shared" si="2"/>
        <v>0</v>
      </c>
      <c r="I20" s="504"/>
    </row>
    <row r="21" spans="1:9" s="361" customFormat="1" ht="12.75" customHeight="1" x14ac:dyDescent="0.25">
      <c r="A21" s="499"/>
      <c r="B21" s="500"/>
      <c r="C21" s="514"/>
      <c r="D21" s="502"/>
      <c r="E21" s="502">
        <f t="shared" si="0"/>
        <v>12634.150000000001</v>
      </c>
      <c r="F21" s="503"/>
      <c r="G21" s="503">
        <f t="shared" si="1"/>
        <v>12634.150000000001</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12634.150000000001</v>
      </c>
      <c r="E23" s="405"/>
      <c r="F23" s="405">
        <f>SUM(F9:F22)</f>
        <v>12634.150000000001</v>
      </c>
      <c r="G23" s="405"/>
      <c r="H23" s="405">
        <f>D23-F23</f>
        <v>0</v>
      </c>
      <c r="I23" s="533" t="s">
        <v>169</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1207</v>
      </c>
      <c r="D26" s="503">
        <f>15897.15-3383</f>
        <v>12514.15</v>
      </c>
      <c r="E26" s="503"/>
      <c r="F26" s="503">
        <f>2106.82+3844.93+4274.52+2287.88</f>
        <v>12514.150000000001</v>
      </c>
      <c r="G26" s="503"/>
      <c r="H26" s="503">
        <f>D26-F26</f>
        <v>0</v>
      </c>
      <c r="I26" s="504"/>
    </row>
    <row r="27" spans="1:9" s="361" customFormat="1" ht="12.75" customHeight="1" x14ac:dyDescent="0.25">
      <c r="A27" s="499"/>
      <c r="B27" s="501"/>
      <c r="C27" s="515" t="s">
        <v>118</v>
      </c>
      <c r="D27" s="503">
        <f>4000-3880</f>
        <v>120</v>
      </c>
      <c r="E27" s="503"/>
      <c r="F27" s="503">
        <f>120</f>
        <v>120</v>
      </c>
      <c r="G27" s="503"/>
      <c r="H27" s="503">
        <f t="shared" ref="H27" si="3">D27-F27</f>
        <v>0</v>
      </c>
      <c r="I27" s="504"/>
    </row>
    <row r="28" spans="1:9" s="361" customFormat="1" ht="12.75" customHeight="1" thickBot="1" x14ac:dyDescent="0.3">
      <c r="A28" s="499"/>
      <c r="B28" s="501"/>
      <c r="C28" s="518" t="s">
        <v>555</v>
      </c>
      <c r="D28" s="405">
        <f>SUM(D24:D27)</f>
        <v>12634.15</v>
      </c>
      <c r="E28" s="519"/>
      <c r="F28" s="405">
        <f>SUM(F24:F27)</f>
        <v>12634.150000000001</v>
      </c>
      <c r="G28" s="519"/>
      <c r="H28" s="405">
        <f>SUM(H24:H27)</f>
        <v>0</v>
      </c>
      <c r="I28" s="504"/>
    </row>
    <row r="29" spans="1:9" s="361" customFormat="1" ht="12.75" customHeight="1" thickTop="1" x14ac:dyDescent="0.25"/>
    <row r="30" spans="1:9" s="361" customFormat="1" ht="12.75" customHeight="1" x14ac:dyDescent="0.25"/>
    <row r="31" spans="1:9" s="361"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E6C7-55ED-4B25-B54F-B37E566A230D}">
  <sheetPr codeName="Sheet174">
    <pageSetUpPr fitToPage="1"/>
  </sheetPr>
  <dimension ref="A1:I31"/>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1461</v>
      </c>
      <c r="B4" s="126"/>
      <c r="C4" s="127"/>
      <c r="D4" s="128" t="s">
        <v>1462</v>
      </c>
      <c r="E4" s="124"/>
      <c r="F4" s="124"/>
      <c r="G4" s="124"/>
      <c r="H4" s="125"/>
      <c r="I4" s="125"/>
    </row>
    <row r="5" spans="1:9" ht="15.75" x14ac:dyDescent="0.25">
      <c r="A5" s="129" t="s">
        <v>109</v>
      </c>
      <c r="B5" s="130"/>
      <c r="C5" s="131"/>
      <c r="D5" s="132" t="s">
        <v>1463</v>
      </c>
      <c r="E5" s="133"/>
      <c r="F5" s="134"/>
      <c r="G5" s="134"/>
      <c r="H5" s="130"/>
      <c r="I5" s="125"/>
    </row>
    <row r="6" spans="1:9" ht="15.75" x14ac:dyDescent="0.25">
      <c r="A6" s="86" t="str">
        <f>'RECAP #9475.00'!B6</f>
        <v>Project Manager -  Jennie E.</v>
      </c>
      <c r="B6" s="86"/>
      <c r="C6" s="135"/>
      <c r="D6" s="136" t="s">
        <v>112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1464</v>
      </c>
      <c r="B9" s="409">
        <v>46029</v>
      </c>
      <c r="C9" s="410" t="s">
        <v>107</v>
      </c>
      <c r="D9" s="411">
        <v>106760</v>
      </c>
      <c r="E9" s="412">
        <f>D9</f>
        <v>106760</v>
      </c>
      <c r="F9" s="413"/>
      <c r="G9" s="413"/>
      <c r="H9" s="413">
        <f>E9</f>
        <v>106760</v>
      </c>
      <c r="I9" s="414"/>
    </row>
    <row r="10" spans="1:9" s="330" customFormat="1" ht="12.75" customHeight="1" x14ac:dyDescent="0.25">
      <c r="A10" s="408"/>
      <c r="B10" s="240"/>
      <c r="C10" s="410"/>
      <c r="D10" s="412"/>
      <c r="E10" s="412">
        <f t="shared" ref="E10:E21" si="0">E9+D10</f>
        <v>106760</v>
      </c>
      <c r="F10" s="445"/>
      <c r="G10" s="413">
        <f t="shared" ref="G10:G21" si="1">G9+F10</f>
        <v>0</v>
      </c>
      <c r="H10" s="413">
        <f t="shared" ref="H10:H21" si="2">H9-F10+D10</f>
        <v>106760</v>
      </c>
      <c r="I10" s="414"/>
    </row>
    <row r="11" spans="1:9" s="330" customFormat="1" ht="12.75" customHeight="1" x14ac:dyDescent="0.25">
      <c r="A11" s="408"/>
      <c r="B11" s="409"/>
      <c r="C11" s="410"/>
      <c r="D11" s="412"/>
      <c r="E11" s="412">
        <f t="shared" si="0"/>
        <v>106760</v>
      </c>
      <c r="F11" s="445"/>
      <c r="G11" s="413">
        <f t="shared" si="1"/>
        <v>0</v>
      </c>
      <c r="H11" s="413">
        <f t="shared" si="2"/>
        <v>106760</v>
      </c>
      <c r="I11" s="414"/>
    </row>
    <row r="12" spans="1:9" s="330" customFormat="1" ht="12.75" customHeight="1" x14ac:dyDescent="0.25">
      <c r="A12" s="408"/>
      <c r="B12" s="409"/>
      <c r="C12" s="410"/>
      <c r="D12" s="412"/>
      <c r="E12" s="412">
        <f t="shared" si="0"/>
        <v>106760</v>
      </c>
      <c r="F12" s="445"/>
      <c r="G12" s="413">
        <f t="shared" si="1"/>
        <v>0</v>
      </c>
      <c r="H12" s="413">
        <f t="shared" si="2"/>
        <v>106760</v>
      </c>
      <c r="I12" s="414"/>
    </row>
    <row r="13" spans="1:9" s="330" customFormat="1" ht="12.75" customHeight="1" x14ac:dyDescent="0.25">
      <c r="A13" s="408"/>
      <c r="B13" s="409"/>
      <c r="C13" s="410"/>
      <c r="D13" s="412"/>
      <c r="E13" s="412">
        <f t="shared" si="0"/>
        <v>106760</v>
      </c>
      <c r="F13" s="422"/>
      <c r="G13" s="413">
        <f t="shared" si="1"/>
        <v>0</v>
      </c>
      <c r="H13" s="413">
        <f t="shared" si="2"/>
        <v>106760</v>
      </c>
      <c r="I13" s="414"/>
    </row>
    <row r="14" spans="1:9" s="330" customFormat="1" ht="12.75" customHeight="1" x14ac:dyDescent="0.25">
      <c r="A14" s="408"/>
      <c r="B14" s="409"/>
      <c r="C14" s="410"/>
      <c r="D14" s="412"/>
      <c r="E14" s="412">
        <f t="shared" si="0"/>
        <v>106760</v>
      </c>
      <c r="F14" s="413"/>
      <c r="G14" s="413">
        <f t="shared" si="1"/>
        <v>0</v>
      </c>
      <c r="H14" s="413">
        <f t="shared" si="2"/>
        <v>106760</v>
      </c>
      <c r="I14" s="414"/>
    </row>
    <row r="15" spans="1:9" s="330" customFormat="1" ht="12.75" customHeight="1" x14ac:dyDescent="0.25">
      <c r="A15" s="408"/>
      <c r="B15" s="409"/>
      <c r="C15" s="410"/>
      <c r="D15" s="412"/>
      <c r="E15" s="412">
        <f t="shared" si="0"/>
        <v>106760</v>
      </c>
      <c r="F15" s="422"/>
      <c r="G15" s="413">
        <f t="shared" si="1"/>
        <v>0</v>
      </c>
      <c r="H15" s="413">
        <f t="shared" si="2"/>
        <v>106760</v>
      </c>
      <c r="I15" s="414"/>
    </row>
    <row r="16" spans="1:9" s="330" customFormat="1" ht="12.75" customHeight="1" x14ac:dyDescent="0.25">
      <c r="A16" s="408"/>
      <c r="B16" s="409"/>
      <c r="C16" s="410"/>
      <c r="D16" s="412"/>
      <c r="E16" s="412">
        <f t="shared" si="0"/>
        <v>106760</v>
      </c>
      <c r="F16" s="422"/>
      <c r="G16" s="413">
        <f t="shared" si="1"/>
        <v>0</v>
      </c>
      <c r="H16" s="413">
        <f t="shared" si="2"/>
        <v>106760</v>
      </c>
      <c r="I16" s="414"/>
    </row>
    <row r="17" spans="1:9" s="330" customFormat="1" ht="12.75" customHeight="1" x14ac:dyDescent="0.25">
      <c r="A17" s="408"/>
      <c r="B17" s="409"/>
      <c r="C17" s="410"/>
      <c r="D17" s="412"/>
      <c r="E17" s="412">
        <f t="shared" si="0"/>
        <v>106760</v>
      </c>
      <c r="F17" s="422"/>
      <c r="G17" s="413">
        <f t="shared" si="1"/>
        <v>0</v>
      </c>
      <c r="H17" s="413">
        <f t="shared" si="2"/>
        <v>106760</v>
      </c>
      <c r="I17" s="414"/>
    </row>
    <row r="18" spans="1:9" s="330" customFormat="1" ht="12.75" customHeight="1" x14ac:dyDescent="0.25">
      <c r="A18" s="408"/>
      <c r="B18" s="409"/>
      <c r="C18" s="410"/>
      <c r="D18" s="412"/>
      <c r="E18" s="412">
        <f t="shared" si="0"/>
        <v>106760</v>
      </c>
      <c r="F18" s="422"/>
      <c r="G18" s="413">
        <f t="shared" si="1"/>
        <v>0</v>
      </c>
      <c r="H18" s="413">
        <f t="shared" si="2"/>
        <v>106760</v>
      </c>
      <c r="I18" s="414"/>
    </row>
    <row r="19" spans="1:9" s="330" customFormat="1" ht="12.75" customHeight="1" x14ac:dyDescent="0.25">
      <c r="A19" s="408"/>
      <c r="B19" s="409"/>
      <c r="C19" s="410"/>
      <c r="D19" s="412"/>
      <c r="E19" s="412">
        <f t="shared" si="0"/>
        <v>106760</v>
      </c>
      <c r="F19" s="413"/>
      <c r="G19" s="413">
        <f t="shared" si="1"/>
        <v>0</v>
      </c>
      <c r="H19" s="413">
        <f t="shared" si="2"/>
        <v>106760</v>
      </c>
      <c r="I19" s="414"/>
    </row>
    <row r="20" spans="1:9" s="330" customFormat="1" ht="12.75" customHeight="1" x14ac:dyDescent="0.25">
      <c r="A20" s="408"/>
      <c r="B20" s="409"/>
      <c r="C20" s="410"/>
      <c r="D20" s="412"/>
      <c r="E20" s="412">
        <f t="shared" si="0"/>
        <v>106760</v>
      </c>
      <c r="F20" s="413"/>
      <c r="G20" s="413">
        <f t="shared" si="1"/>
        <v>0</v>
      </c>
      <c r="H20" s="413">
        <f t="shared" si="2"/>
        <v>106760</v>
      </c>
      <c r="I20" s="414"/>
    </row>
    <row r="21" spans="1:9" s="330" customFormat="1" ht="12.75" customHeight="1" x14ac:dyDescent="0.25">
      <c r="A21" s="408"/>
      <c r="B21" s="409"/>
      <c r="C21" s="423"/>
      <c r="D21" s="412"/>
      <c r="E21" s="412">
        <f t="shared" si="0"/>
        <v>106760</v>
      </c>
      <c r="F21" s="413"/>
      <c r="G21" s="413">
        <f t="shared" si="1"/>
        <v>0</v>
      </c>
      <c r="H21" s="413">
        <f t="shared" si="2"/>
        <v>106760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106760</v>
      </c>
      <c r="E23" s="426"/>
      <c r="F23" s="426">
        <f>SUM(F9:F22)</f>
        <v>0</v>
      </c>
      <c r="G23" s="426"/>
      <c r="H23" s="426">
        <f>D23-F23</f>
        <v>106760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4"/>
      <c r="D28" s="427"/>
      <c r="E28" s="427"/>
      <c r="F28" s="427"/>
      <c r="G28" s="427"/>
      <c r="H28" s="427"/>
      <c r="I28" s="414"/>
    </row>
    <row r="29" spans="1:9" s="330" customFormat="1" ht="12.75" customHeight="1" x14ac:dyDescent="0.25"/>
    <row r="30" spans="1:9" s="330" customFormat="1" ht="12.75" customHeight="1" x14ac:dyDescent="0.25"/>
    <row r="31" spans="1:9" s="330" customFormat="1" ht="12.75" customHeight="1" x14ac:dyDescent="0.25"/>
  </sheetData>
  <conditionalFormatting sqref="I9:I28">
    <cfRule type="cellIs" dxfId="4"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F1D-46B4-4702-BBFC-2DAD6B8E86AB}">
  <sheetPr codeName="Sheet175">
    <pageSetUpPr fitToPage="1"/>
  </sheetPr>
  <dimension ref="A1:I31"/>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1474</v>
      </c>
      <c r="B4" s="126"/>
      <c r="C4" s="127"/>
      <c r="D4" s="128" t="s">
        <v>1475</v>
      </c>
      <c r="E4" s="124"/>
      <c r="F4" s="124"/>
      <c r="G4" s="124"/>
      <c r="H4" s="125"/>
      <c r="I4" s="125"/>
    </row>
    <row r="5" spans="1:9" ht="15.75" x14ac:dyDescent="0.25">
      <c r="A5" s="129" t="s">
        <v>109</v>
      </c>
      <c r="B5" s="130"/>
      <c r="C5" s="131"/>
      <c r="D5" s="132" t="s">
        <v>1463</v>
      </c>
      <c r="E5" s="133"/>
      <c r="F5" s="134"/>
      <c r="G5" s="134"/>
      <c r="H5" s="130"/>
      <c r="I5" s="125"/>
    </row>
    <row r="6" spans="1:9" ht="15.75" x14ac:dyDescent="0.25">
      <c r="A6" s="86" t="str">
        <f>'RECAP #9475.00'!B6</f>
        <v>Project Manager -  Jennie E.</v>
      </c>
      <c r="B6" s="86"/>
      <c r="C6" s="135"/>
      <c r="D6" s="136" t="s">
        <v>112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1473</v>
      </c>
      <c r="B9" s="409">
        <v>46034</v>
      </c>
      <c r="C9" s="410" t="s">
        <v>107</v>
      </c>
      <c r="D9" s="411">
        <v>16380</v>
      </c>
      <c r="E9" s="412">
        <f>D9</f>
        <v>16380</v>
      </c>
      <c r="F9" s="413"/>
      <c r="G9" s="413"/>
      <c r="H9" s="413">
        <f>E9</f>
        <v>16380</v>
      </c>
      <c r="I9" s="414"/>
    </row>
    <row r="10" spans="1:9" s="330" customFormat="1" ht="12.75" customHeight="1" x14ac:dyDescent="0.25">
      <c r="A10" s="408"/>
      <c r="B10" s="240"/>
      <c r="C10" s="410"/>
      <c r="D10" s="412"/>
      <c r="E10" s="412">
        <f t="shared" ref="E10:E21" si="0">E9+D10</f>
        <v>16380</v>
      </c>
      <c r="F10" s="445"/>
      <c r="G10" s="413">
        <f t="shared" ref="G10:G21" si="1">G9+F10</f>
        <v>0</v>
      </c>
      <c r="H10" s="413">
        <f t="shared" ref="H10:H21" si="2">H9-F10+D10</f>
        <v>16380</v>
      </c>
      <c r="I10" s="414"/>
    </row>
    <row r="11" spans="1:9" s="330" customFormat="1" ht="12.75" customHeight="1" x14ac:dyDescent="0.25">
      <c r="A11" s="408"/>
      <c r="B11" s="409"/>
      <c r="C11" s="410"/>
      <c r="D11" s="412"/>
      <c r="E11" s="412">
        <f t="shared" si="0"/>
        <v>16380</v>
      </c>
      <c r="F11" s="445"/>
      <c r="G11" s="413">
        <f t="shared" si="1"/>
        <v>0</v>
      </c>
      <c r="H11" s="413">
        <f t="shared" si="2"/>
        <v>16380</v>
      </c>
      <c r="I11" s="414"/>
    </row>
    <row r="12" spans="1:9" s="330" customFormat="1" ht="12.75" customHeight="1" x14ac:dyDescent="0.25">
      <c r="A12" s="408"/>
      <c r="B12" s="409"/>
      <c r="C12" s="410"/>
      <c r="D12" s="412"/>
      <c r="E12" s="412">
        <f t="shared" si="0"/>
        <v>16380</v>
      </c>
      <c r="F12" s="445"/>
      <c r="G12" s="413">
        <f t="shared" si="1"/>
        <v>0</v>
      </c>
      <c r="H12" s="413">
        <f t="shared" si="2"/>
        <v>16380</v>
      </c>
      <c r="I12" s="414"/>
    </row>
    <row r="13" spans="1:9" s="330" customFormat="1" ht="12.75" customHeight="1" x14ac:dyDescent="0.25">
      <c r="A13" s="408"/>
      <c r="B13" s="409"/>
      <c r="C13" s="410"/>
      <c r="D13" s="412"/>
      <c r="E13" s="412">
        <f t="shared" si="0"/>
        <v>16380</v>
      </c>
      <c r="F13" s="422"/>
      <c r="G13" s="413">
        <f t="shared" si="1"/>
        <v>0</v>
      </c>
      <c r="H13" s="413">
        <f t="shared" si="2"/>
        <v>16380</v>
      </c>
      <c r="I13" s="414"/>
    </row>
    <row r="14" spans="1:9" s="330" customFormat="1" ht="12.75" customHeight="1" x14ac:dyDescent="0.25">
      <c r="A14" s="408"/>
      <c r="B14" s="409"/>
      <c r="C14" s="410"/>
      <c r="D14" s="412"/>
      <c r="E14" s="412">
        <f t="shared" si="0"/>
        <v>16380</v>
      </c>
      <c r="F14" s="413"/>
      <c r="G14" s="413">
        <f t="shared" si="1"/>
        <v>0</v>
      </c>
      <c r="H14" s="413">
        <f t="shared" si="2"/>
        <v>16380</v>
      </c>
      <c r="I14" s="414"/>
    </row>
    <row r="15" spans="1:9" s="330" customFormat="1" ht="12.75" customHeight="1" x14ac:dyDescent="0.25">
      <c r="A15" s="408"/>
      <c r="B15" s="409"/>
      <c r="C15" s="410"/>
      <c r="D15" s="412"/>
      <c r="E15" s="412">
        <f t="shared" si="0"/>
        <v>16380</v>
      </c>
      <c r="F15" s="422"/>
      <c r="G15" s="413">
        <f t="shared" si="1"/>
        <v>0</v>
      </c>
      <c r="H15" s="413">
        <f t="shared" si="2"/>
        <v>16380</v>
      </c>
      <c r="I15" s="414"/>
    </row>
    <row r="16" spans="1:9" s="330" customFormat="1" ht="12.75" customHeight="1" x14ac:dyDescent="0.25">
      <c r="A16" s="408"/>
      <c r="B16" s="409"/>
      <c r="C16" s="410"/>
      <c r="D16" s="412"/>
      <c r="E16" s="412">
        <f t="shared" si="0"/>
        <v>16380</v>
      </c>
      <c r="F16" s="422"/>
      <c r="G16" s="413">
        <f t="shared" si="1"/>
        <v>0</v>
      </c>
      <c r="H16" s="413">
        <f t="shared" si="2"/>
        <v>16380</v>
      </c>
      <c r="I16" s="414"/>
    </row>
    <row r="17" spans="1:9" s="330" customFormat="1" ht="12.75" customHeight="1" x14ac:dyDescent="0.25">
      <c r="A17" s="408"/>
      <c r="B17" s="409"/>
      <c r="C17" s="410"/>
      <c r="D17" s="412"/>
      <c r="E17" s="412">
        <f t="shared" si="0"/>
        <v>16380</v>
      </c>
      <c r="F17" s="422"/>
      <c r="G17" s="413">
        <f t="shared" si="1"/>
        <v>0</v>
      </c>
      <c r="H17" s="413">
        <f t="shared" si="2"/>
        <v>16380</v>
      </c>
      <c r="I17" s="414"/>
    </row>
    <row r="18" spans="1:9" s="330" customFormat="1" ht="12.75" customHeight="1" x14ac:dyDescent="0.25">
      <c r="A18" s="408"/>
      <c r="B18" s="409"/>
      <c r="C18" s="410"/>
      <c r="D18" s="412"/>
      <c r="E18" s="412">
        <f t="shared" si="0"/>
        <v>16380</v>
      </c>
      <c r="F18" s="422"/>
      <c r="G18" s="413">
        <f t="shared" si="1"/>
        <v>0</v>
      </c>
      <c r="H18" s="413">
        <f t="shared" si="2"/>
        <v>16380</v>
      </c>
      <c r="I18" s="414"/>
    </row>
    <row r="19" spans="1:9" s="330" customFormat="1" ht="12.75" customHeight="1" x14ac:dyDescent="0.25">
      <c r="A19" s="408"/>
      <c r="B19" s="409"/>
      <c r="C19" s="410"/>
      <c r="D19" s="412"/>
      <c r="E19" s="412">
        <f t="shared" si="0"/>
        <v>16380</v>
      </c>
      <c r="F19" s="413"/>
      <c r="G19" s="413">
        <f t="shared" si="1"/>
        <v>0</v>
      </c>
      <c r="H19" s="413">
        <f t="shared" si="2"/>
        <v>16380</v>
      </c>
      <c r="I19" s="414"/>
    </row>
    <row r="20" spans="1:9" s="330" customFormat="1" ht="12.75" customHeight="1" x14ac:dyDescent="0.25">
      <c r="A20" s="408"/>
      <c r="B20" s="409"/>
      <c r="C20" s="410"/>
      <c r="D20" s="412"/>
      <c r="E20" s="412">
        <f t="shared" si="0"/>
        <v>16380</v>
      </c>
      <c r="F20" s="413"/>
      <c r="G20" s="413">
        <f t="shared" si="1"/>
        <v>0</v>
      </c>
      <c r="H20" s="413">
        <f t="shared" si="2"/>
        <v>16380</v>
      </c>
      <c r="I20" s="414"/>
    </row>
    <row r="21" spans="1:9" s="330" customFormat="1" ht="12.75" customHeight="1" x14ac:dyDescent="0.25">
      <c r="A21" s="408"/>
      <c r="B21" s="409"/>
      <c r="C21" s="423"/>
      <c r="D21" s="412"/>
      <c r="E21" s="412">
        <f t="shared" si="0"/>
        <v>16380</v>
      </c>
      <c r="F21" s="413"/>
      <c r="G21" s="413">
        <f t="shared" si="1"/>
        <v>0</v>
      </c>
      <c r="H21" s="413">
        <f t="shared" si="2"/>
        <v>16380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16380</v>
      </c>
      <c r="E23" s="426"/>
      <c r="F23" s="426">
        <f>SUM(F9:F22)</f>
        <v>0</v>
      </c>
      <c r="G23" s="426"/>
      <c r="H23" s="426">
        <f>D23-F23</f>
        <v>16380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4"/>
      <c r="D28" s="427"/>
      <c r="E28" s="427"/>
      <c r="F28" s="427"/>
      <c r="G28" s="427"/>
      <c r="H28" s="427"/>
      <c r="I28" s="414"/>
    </row>
    <row r="29" spans="1:9" s="330" customFormat="1" ht="12.75" customHeight="1" x14ac:dyDescent="0.25"/>
    <row r="30" spans="1:9" s="330" customFormat="1" ht="12.75" customHeight="1" x14ac:dyDescent="0.25"/>
    <row r="31" spans="1:9" s="330" customFormat="1" ht="12.75" customHeight="1" x14ac:dyDescent="0.25"/>
  </sheetData>
  <conditionalFormatting sqref="I9:I28">
    <cfRule type="cellIs" dxfId="3"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1A85-5B66-4C6A-AC88-E9FE0E41550E}">
  <sheetPr codeName="Sheet176">
    <pageSetUpPr fitToPage="1"/>
  </sheetPr>
  <dimension ref="A1:I31"/>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151</v>
      </c>
      <c r="B4" s="126"/>
      <c r="C4" s="127"/>
      <c r="D4" s="128" t="s">
        <v>152</v>
      </c>
      <c r="E4" s="124"/>
      <c r="F4" s="124"/>
      <c r="G4" s="124"/>
      <c r="H4" s="125"/>
      <c r="I4" s="125"/>
    </row>
    <row r="5" spans="1:9" ht="15.75" x14ac:dyDescent="0.25">
      <c r="A5" s="129" t="s">
        <v>109</v>
      </c>
      <c r="B5" s="130"/>
      <c r="C5" s="131"/>
      <c r="D5" s="132" t="s">
        <v>153</v>
      </c>
      <c r="E5" s="133"/>
      <c r="F5" s="134"/>
      <c r="G5" s="134"/>
      <c r="H5" s="130"/>
      <c r="I5" s="125"/>
    </row>
    <row r="6" spans="1:9" ht="15.75" x14ac:dyDescent="0.25">
      <c r="A6" s="86" t="str">
        <f>'RECAP #9475.00'!B6</f>
        <v>Project Manager -  Jennie E.</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1560</v>
      </c>
      <c r="B9" s="409">
        <v>46065</v>
      </c>
      <c r="C9" s="410" t="s">
        <v>107</v>
      </c>
      <c r="D9" s="411">
        <v>22442.25</v>
      </c>
      <c r="E9" s="412">
        <f>D9</f>
        <v>22442.25</v>
      </c>
      <c r="F9" s="413"/>
      <c r="G9" s="413"/>
      <c r="H9" s="413">
        <f>E9</f>
        <v>22442.25</v>
      </c>
      <c r="I9" s="414"/>
    </row>
    <row r="10" spans="1:9" s="330" customFormat="1" ht="12.75" customHeight="1" x14ac:dyDescent="0.25">
      <c r="A10" s="408" t="s">
        <v>1715</v>
      </c>
      <c r="B10" s="240">
        <v>46105</v>
      </c>
      <c r="C10" s="410" t="s">
        <v>1716</v>
      </c>
      <c r="D10" s="412"/>
      <c r="E10" s="412">
        <f t="shared" ref="E10:E21" si="0">E9+D10</f>
        <v>22442.25</v>
      </c>
      <c r="F10" s="445">
        <v>4620.24</v>
      </c>
      <c r="G10" s="413">
        <f t="shared" ref="G10:G21" si="1">G9+F10</f>
        <v>4620.24</v>
      </c>
      <c r="H10" s="413">
        <f t="shared" ref="H10:H21" si="2">H9-F10+D10</f>
        <v>17822.010000000002</v>
      </c>
      <c r="I10" s="414"/>
    </row>
    <row r="11" spans="1:9" s="330" customFormat="1" ht="12.75" customHeight="1" x14ac:dyDescent="0.25">
      <c r="A11" s="408" t="s">
        <v>1778</v>
      </c>
      <c r="B11" s="409">
        <v>46128</v>
      </c>
      <c r="C11" s="410" t="s">
        <v>1779</v>
      </c>
      <c r="D11" s="412"/>
      <c r="E11" s="412">
        <f t="shared" si="0"/>
        <v>22442.25</v>
      </c>
      <c r="F11" s="445">
        <v>4030.96</v>
      </c>
      <c r="G11" s="413">
        <f t="shared" si="1"/>
        <v>8651.2000000000007</v>
      </c>
      <c r="H11" s="413">
        <f t="shared" si="2"/>
        <v>13791.050000000003</v>
      </c>
      <c r="I11" s="414"/>
    </row>
    <row r="12" spans="1:9" s="330" customFormat="1" ht="12.75" customHeight="1" x14ac:dyDescent="0.25">
      <c r="A12" s="408"/>
      <c r="B12" s="409"/>
      <c r="C12" s="410"/>
      <c r="D12" s="412"/>
      <c r="E12" s="412">
        <f t="shared" si="0"/>
        <v>22442.25</v>
      </c>
      <c r="F12" s="445"/>
      <c r="G12" s="413">
        <f t="shared" si="1"/>
        <v>8651.2000000000007</v>
      </c>
      <c r="H12" s="413">
        <f t="shared" si="2"/>
        <v>13791.050000000003</v>
      </c>
      <c r="I12" s="414"/>
    </row>
    <row r="13" spans="1:9" s="330" customFormat="1" ht="12.75" customHeight="1" x14ac:dyDescent="0.25">
      <c r="A13" s="408"/>
      <c r="B13" s="409"/>
      <c r="C13" s="410"/>
      <c r="D13" s="412"/>
      <c r="E13" s="412">
        <f t="shared" si="0"/>
        <v>22442.25</v>
      </c>
      <c r="F13" s="422"/>
      <c r="G13" s="413">
        <f t="shared" si="1"/>
        <v>8651.2000000000007</v>
      </c>
      <c r="H13" s="413">
        <f t="shared" si="2"/>
        <v>13791.050000000003</v>
      </c>
      <c r="I13" s="414"/>
    </row>
    <row r="14" spans="1:9" s="330" customFormat="1" ht="12.75" customHeight="1" x14ac:dyDescent="0.25">
      <c r="A14" s="408"/>
      <c r="B14" s="409"/>
      <c r="C14" s="410"/>
      <c r="D14" s="412"/>
      <c r="E14" s="412">
        <f t="shared" si="0"/>
        <v>22442.25</v>
      </c>
      <c r="F14" s="413"/>
      <c r="G14" s="413">
        <f t="shared" si="1"/>
        <v>8651.2000000000007</v>
      </c>
      <c r="H14" s="413">
        <f t="shared" si="2"/>
        <v>13791.050000000003</v>
      </c>
      <c r="I14" s="414"/>
    </row>
    <row r="15" spans="1:9" s="330" customFormat="1" ht="12.75" customHeight="1" x14ac:dyDescent="0.25">
      <c r="A15" s="408"/>
      <c r="B15" s="409"/>
      <c r="C15" s="410"/>
      <c r="D15" s="412"/>
      <c r="E15" s="412">
        <f t="shared" si="0"/>
        <v>22442.25</v>
      </c>
      <c r="F15" s="422"/>
      <c r="G15" s="413">
        <f t="shared" si="1"/>
        <v>8651.2000000000007</v>
      </c>
      <c r="H15" s="413">
        <f t="shared" si="2"/>
        <v>13791.050000000003</v>
      </c>
      <c r="I15" s="414"/>
    </row>
    <row r="16" spans="1:9" s="330" customFormat="1" ht="12.75" customHeight="1" x14ac:dyDescent="0.25">
      <c r="A16" s="408"/>
      <c r="B16" s="409"/>
      <c r="C16" s="410"/>
      <c r="D16" s="412"/>
      <c r="E16" s="412">
        <f t="shared" si="0"/>
        <v>22442.25</v>
      </c>
      <c r="F16" s="422"/>
      <c r="G16" s="413">
        <f t="shared" si="1"/>
        <v>8651.2000000000007</v>
      </c>
      <c r="H16" s="413">
        <f t="shared" si="2"/>
        <v>13791.050000000003</v>
      </c>
      <c r="I16" s="414"/>
    </row>
    <row r="17" spans="1:9" s="330" customFormat="1" ht="12.75" customHeight="1" x14ac:dyDescent="0.25">
      <c r="A17" s="408"/>
      <c r="B17" s="409"/>
      <c r="C17" s="410"/>
      <c r="D17" s="412"/>
      <c r="E17" s="412">
        <f t="shared" si="0"/>
        <v>22442.25</v>
      </c>
      <c r="F17" s="422"/>
      <c r="G17" s="413">
        <f t="shared" si="1"/>
        <v>8651.2000000000007</v>
      </c>
      <c r="H17" s="413">
        <f t="shared" si="2"/>
        <v>13791.050000000003</v>
      </c>
      <c r="I17" s="414"/>
    </row>
    <row r="18" spans="1:9" s="330" customFormat="1" ht="12.75" customHeight="1" x14ac:dyDescent="0.25">
      <c r="A18" s="408"/>
      <c r="B18" s="409"/>
      <c r="C18" s="410"/>
      <c r="D18" s="412"/>
      <c r="E18" s="412">
        <f t="shared" si="0"/>
        <v>22442.25</v>
      </c>
      <c r="F18" s="422"/>
      <c r="G18" s="413">
        <f t="shared" si="1"/>
        <v>8651.2000000000007</v>
      </c>
      <c r="H18" s="413">
        <f t="shared" si="2"/>
        <v>13791.050000000003</v>
      </c>
      <c r="I18" s="414"/>
    </row>
    <row r="19" spans="1:9" s="330" customFormat="1" ht="12.75" customHeight="1" x14ac:dyDescent="0.25">
      <c r="A19" s="408"/>
      <c r="B19" s="409"/>
      <c r="C19" s="410"/>
      <c r="D19" s="412"/>
      <c r="E19" s="412">
        <f t="shared" si="0"/>
        <v>22442.25</v>
      </c>
      <c r="F19" s="413"/>
      <c r="G19" s="413">
        <f t="shared" si="1"/>
        <v>8651.2000000000007</v>
      </c>
      <c r="H19" s="413">
        <f t="shared" si="2"/>
        <v>13791.050000000003</v>
      </c>
      <c r="I19" s="414"/>
    </row>
    <row r="20" spans="1:9" s="330" customFormat="1" ht="12.75" customHeight="1" x14ac:dyDescent="0.25">
      <c r="A20" s="408"/>
      <c r="B20" s="409"/>
      <c r="C20" s="410"/>
      <c r="D20" s="412"/>
      <c r="E20" s="412">
        <f t="shared" si="0"/>
        <v>22442.25</v>
      </c>
      <c r="F20" s="413"/>
      <c r="G20" s="413">
        <f t="shared" si="1"/>
        <v>8651.2000000000007</v>
      </c>
      <c r="H20" s="413">
        <f t="shared" si="2"/>
        <v>13791.050000000003</v>
      </c>
      <c r="I20" s="414"/>
    </row>
    <row r="21" spans="1:9" s="330" customFormat="1" ht="12.75" customHeight="1" x14ac:dyDescent="0.25">
      <c r="A21" s="408"/>
      <c r="B21" s="409"/>
      <c r="C21" s="423"/>
      <c r="D21" s="412"/>
      <c r="E21" s="412">
        <f t="shared" si="0"/>
        <v>22442.25</v>
      </c>
      <c r="F21" s="413"/>
      <c r="G21" s="413">
        <f t="shared" si="1"/>
        <v>8651.2000000000007</v>
      </c>
      <c r="H21" s="413">
        <f t="shared" si="2"/>
        <v>13791.050000000003</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22442.25</v>
      </c>
      <c r="E23" s="426"/>
      <c r="F23" s="426">
        <f>SUM(F9:F22)</f>
        <v>8651.2000000000007</v>
      </c>
      <c r="G23" s="426"/>
      <c r="H23" s="426">
        <f>D23-F23</f>
        <v>13791.05</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1207</v>
      </c>
      <c r="D26" s="413">
        <v>18442.25</v>
      </c>
      <c r="E26" s="413"/>
      <c r="F26" s="413">
        <f>4620.24+1758.96</f>
        <v>6379.2</v>
      </c>
      <c r="G26" s="413"/>
      <c r="H26" s="413">
        <f>D26-F26</f>
        <v>12063.05</v>
      </c>
      <c r="I26" s="414"/>
    </row>
    <row r="27" spans="1:9" s="330" customFormat="1" ht="12.75" customHeight="1" x14ac:dyDescent="0.25">
      <c r="A27" s="408"/>
      <c r="B27" s="410"/>
      <c r="C27" s="425" t="s">
        <v>118</v>
      </c>
      <c r="D27" s="413">
        <v>4000</v>
      </c>
      <c r="E27" s="413"/>
      <c r="F27" s="413">
        <f>2272</f>
        <v>2272</v>
      </c>
      <c r="G27" s="413"/>
      <c r="H27" s="413">
        <f t="shared" ref="H27" si="3">D27-F27</f>
        <v>1728</v>
      </c>
      <c r="I27" s="414"/>
    </row>
    <row r="28" spans="1:9" s="330" customFormat="1" ht="12.75" customHeight="1" thickBot="1" x14ac:dyDescent="0.3">
      <c r="A28" s="408"/>
      <c r="B28" s="410"/>
      <c r="C28" s="424" t="s">
        <v>555</v>
      </c>
      <c r="D28" s="426">
        <f>SUM(D24:D27)</f>
        <v>22442.25</v>
      </c>
      <c r="E28" s="427"/>
      <c r="F28" s="426">
        <f>SUM(F24:F27)</f>
        <v>8651.2000000000007</v>
      </c>
      <c r="G28" s="427"/>
      <c r="H28" s="426">
        <f>SUM(H24:H27)</f>
        <v>13791.05</v>
      </c>
      <c r="I28" s="414"/>
    </row>
    <row r="29" spans="1:9" s="330" customFormat="1" ht="12.75" customHeight="1" thickTop="1" x14ac:dyDescent="0.25"/>
    <row r="30" spans="1:9" s="330" customFormat="1" ht="12.75" customHeight="1" x14ac:dyDescent="0.25"/>
    <row r="31" spans="1:9" s="330" customFormat="1" ht="12.75" customHeight="1" x14ac:dyDescent="0.25"/>
  </sheetData>
  <conditionalFormatting sqref="I9:I28">
    <cfRule type="cellIs" dxfId="2"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77">
    <tabColor rgb="FF0070C0"/>
    <pageSetUpPr fitToPage="1"/>
  </sheetPr>
  <dimension ref="A1:G18"/>
  <sheetViews>
    <sheetView tabSelected="1" zoomScaleNormal="100" workbookViewId="0">
      <selection activeCell="C38" sqref="C38"/>
    </sheetView>
  </sheetViews>
  <sheetFormatPr defaultColWidth="11.42578125" defaultRowHeight="15" customHeight="1" x14ac:dyDescent="0.25"/>
  <cols>
    <col min="1" max="1" width="3.5703125" style="282" customWidth="1"/>
    <col min="2" max="2" width="25" style="282" customWidth="1"/>
    <col min="3" max="3" width="21.5703125" style="282" customWidth="1"/>
    <col min="4" max="4" width="17" style="282" customWidth="1"/>
    <col min="5" max="5" width="13.42578125" style="282" bestFit="1" customWidth="1"/>
    <col min="6" max="6" width="16.42578125" style="282" customWidth="1"/>
    <col min="7" max="7" width="16.42578125" style="282" bestFit="1" customWidth="1"/>
    <col min="8" max="8" width="11.42578125" style="282"/>
    <col min="9" max="9" width="11.42578125" style="282" customWidth="1"/>
    <col min="10" max="16384" width="11.42578125" style="282"/>
  </cols>
  <sheetData>
    <row r="1" spans="1:7" ht="15.75" x14ac:dyDescent="0.25">
      <c r="A1" s="212"/>
      <c r="B1" s="109" t="s">
        <v>802</v>
      </c>
      <c r="C1" s="109"/>
      <c r="D1" s="179"/>
      <c r="E1" s="179"/>
      <c r="F1" s="179"/>
      <c r="G1" s="179"/>
    </row>
    <row r="2" spans="1:7" ht="15.75" x14ac:dyDescent="0.25">
      <c r="A2" s="212"/>
      <c r="B2" s="126" t="s">
        <v>803</v>
      </c>
      <c r="C2" s="182"/>
      <c r="D2" s="179"/>
      <c r="E2" s="179"/>
      <c r="F2" s="179"/>
      <c r="G2" s="179"/>
    </row>
    <row r="3" spans="1:7" ht="15.75" x14ac:dyDescent="0.25">
      <c r="A3" s="212"/>
      <c r="B3" s="183" t="s">
        <v>804</v>
      </c>
      <c r="C3" s="182"/>
      <c r="D3" s="179"/>
      <c r="E3" s="184" t="s">
        <v>71</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70</v>
      </c>
      <c r="C6" s="250"/>
      <c r="D6" s="251" t="s">
        <v>3</v>
      </c>
      <c r="E6" s="179"/>
      <c r="F6" s="179"/>
      <c r="G6" s="179"/>
    </row>
    <row r="7" spans="1:7" ht="33.7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'#9476.00 Funds Rec''d'!H24</f>
        <v>41976.760000000009</v>
      </c>
      <c r="D8" s="258"/>
      <c r="E8" s="258"/>
      <c r="F8" s="258"/>
      <c r="G8" s="259"/>
    </row>
    <row r="9" spans="1:7" s="361" customFormat="1" ht="12.75" customHeight="1" x14ac:dyDescent="0.25">
      <c r="A9" s="478"/>
      <c r="B9" s="550"/>
      <c r="C9" s="551"/>
      <c r="D9" s="552"/>
      <c r="E9" s="552"/>
      <c r="F9" s="552"/>
      <c r="G9" s="553"/>
    </row>
    <row r="10" spans="1:7" s="361" customFormat="1" ht="12.75" customHeight="1" x14ac:dyDescent="0.25">
      <c r="A10" s="478" t="s">
        <v>170</v>
      </c>
      <c r="B10" s="550" t="s">
        <v>113</v>
      </c>
      <c r="C10" s="551"/>
      <c r="D10" s="554">
        <f>'#9476.00 McGough Construction'!D23</f>
        <v>14388.449999999999</v>
      </c>
      <c r="E10" s="554">
        <f>'#9476.00 McGough Construction'!F23</f>
        <v>14388.45</v>
      </c>
      <c r="F10" s="554">
        <f>'#9476.00 McGough Construction'!H23</f>
        <v>0</v>
      </c>
      <c r="G10" s="553"/>
    </row>
    <row r="11" spans="1:7" s="361" customFormat="1" ht="12.75" customHeight="1" x14ac:dyDescent="0.25">
      <c r="A11" s="478" t="s">
        <v>170</v>
      </c>
      <c r="B11" s="550" t="s">
        <v>41</v>
      </c>
      <c r="C11" s="551"/>
      <c r="D11" s="554">
        <f>'#9476.00 PM TIME'!E30</f>
        <v>8341.81</v>
      </c>
      <c r="E11" s="554">
        <f>'#9476.00 PM TIME'!G30</f>
        <v>8341.81</v>
      </c>
      <c r="F11" s="554">
        <f>'#9476.00 PM TIME'!I30</f>
        <v>0</v>
      </c>
      <c r="G11" s="553"/>
    </row>
    <row r="12" spans="1:7" s="361" customFormat="1" ht="12.75" customHeight="1" x14ac:dyDescent="0.25">
      <c r="A12" s="478" t="s">
        <v>170</v>
      </c>
      <c r="B12" s="550" t="s">
        <v>42</v>
      </c>
      <c r="C12" s="552"/>
      <c r="D12" s="555">
        <f>'#9476.00 Misc '!G22</f>
        <v>336.5</v>
      </c>
      <c r="E12" s="555">
        <f>'#9476.00 Misc '!G22</f>
        <v>336.5</v>
      </c>
      <c r="F12" s="554">
        <f>D12-E12</f>
        <v>0</v>
      </c>
      <c r="G12" s="553"/>
    </row>
    <row r="13" spans="1:7" s="361" customFormat="1" ht="12.75" customHeight="1" x14ac:dyDescent="0.25">
      <c r="A13" s="478" t="s">
        <v>170</v>
      </c>
      <c r="B13" s="550" t="s">
        <v>1087</v>
      </c>
      <c r="C13" s="552"/>
      <c r="D13" s="555">
        <f>'#9476.00 HGM Associates Inc'!D23</f>
        <v>18910</v>
      </c>
      <c r="E13" s="555">
        <f>'#9476.00 HGM Associates Inc'!F23</f>
        <v>18910</v>
      </c>
      <c r="F13" s="554">
        <f>'#9476.00 HGM Associates Inc'!H23</f>
        <v>0</v>
      </c>
      <c r="G13" s="553"/>
    </row>
    <row r="14" spans="1:7" s="361" customFormat="1" ht="12.75" customHeight="1" x14ac:dyDescent="0.25">
      <c r="A14" s="478"/>
      <c r="B14" s="550"/>
      <c r="C14" s="552"/>
      <c r="D14" s="555"/>
      <c r="E14" s="555"/>
      <c r="F14" s="554"/>
      <c r="G14" s="553"/>
    </row>
    <row r="15" spans="1:7" ht="24" customHeight="1" thickBot="1" x14ac:dyDescent="0.3">
      <c r="A15" s="263"/>
      <c r="B15" s="264" t="s">
        <v>43</v>
      </c>
      <c r="C15" s="265">
        <f>SUM(C8:C14)</f>
        <v>41976.760000000009</v>
      </c>
      <c r="D15" s="265">
        <f>SUM(D8:D14)</f>
        <v>41976.759999999995</v>
      </c>
      <c r="E15" s="265">
        <f>SUM(E8:E14)</f>
        <v>41976.76</v>
      </c>
      <c r="F15" s="379">
        <f>SUM(D15-E15)</f>
        <v>-7.2759576141834259E-12</v>
      </c>
      <c r="G15" s="265">
        <f>C15-D15</f>
        <v>0</v>
      </c>
    </row>
    <row r="16" spans="1:7" ht="15" customHeight="1" thickTop="1" x14ac:dyDescent="0.25"/>
    <row r="18" spans="2:2" ht="15" customHeight="1" x14ac:dyDescent="0.25">
      <c r="B18" s="176" t="s">
        <v>1563</v>
      </c>
    </row>
  </sheetData>
  <pageMargins left="0.25" right="0.25" top="0.98270833333333329"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78">
    <tabColor rgb="FF0070C0"/>
    <pageSetUpPr fitToPage="1"/>
  </sheetPr>
  <dimension ref="A1:H25"/>
  <sheetViews>
    <sheetView tabSelected="1" zoomScaleNormal="100" workbookViewId="0">
      <selection activeCell="C38" sqref="C38"/>
    </sheetView>
  </sheetViews>
  <sheetFormatPr defaultRowHeight="15" customHeight="1" x14ac:dyDescent="0.25"/>
  <cols>
    <col min="1" max="1" width="15.5703125" style="282" customWidth="1"/>
    <col min="2" max="2" width="20.5703125" style="282" customWidth="1"/>
    <col min="3" max="3" width="12.42578125" style="282" bestFit="1" customWidth="1"/>
    <col min="4" max="4" width="34.28515625" style="282" customWidth="1"/>
    <col min="5" max="5" width="25.42578125" style="282" customWidth="1"/>
    <col min="6" max="6" width="10.42578125" style="282" bestFit="1" customWidth="1"/>
    <col min="7" max="8" width="12.42578125" style="282" bestFit="1" customWidth="1"/>
    <col min="9" max="11" width="9.140625" style="282" customWidth="1"/>
    <col min="12" max="16384" width="9.140625" style="282"/>
  </cols>
  <sheetData>
    <row r="1" spans="1:8" x14ac:dyDescent="0.25">
      <c r="A1" s="267" t="str">
        <f>'RECAP #9476.00'!B1</f>
        <v>HHS STS New Garage Building</v>
      </c>
      <c r="B1" s="268"/>
      <c r="C1" s="269"/>
      <c r="D1" s="270"/>
      <c r="E1" s="270"/>
      <c r="F1" s="268"/>
      <c r="G1" s="268"/>
      <c r="H1" s="268"/>
    </row>
    <row r="2" spans="1:8" x14ac:dyDescent="0.25">
      <c r="A2" s="271" t="str">
        <f>'RECAP #9476.00'!B2</f>
        <v>Project # 9476.00</v>
      </c>
      <c r="B2" s="268"/>
      <c r="C2" s="272" t="s">
        <v>3</v>
      </c>
      <c r="D2" s="273"/>
      <c r="E2" s="273"/>
      <c r="F2" s="268"/>
      <c r="G2" s="268"/>
      <c r="H2" s="268"/>
    </row>
    <row r="3" spans="1:8" x14ac:dyDescent="0.25">
      <c r="A3" s="274" t="str">
        <f>'RECAP #9476.00'!B3</f>
        <v>Program code 947600</v>
      </c>
      <c r="B3" s="268"/>
      <c r="C3" s="272" t="s">
        <v>3</v>
      </c>
      <c r="D3" s="275" t="str">
        <f>'RECAP #9476.00'!E3</f>
        <v>Major Program 4B02</v>
      </c>
      <c r="E3" s="270"/>
      <c r="F3" s="268"/>
      <c r="G3" s="268"/>
      <c r="H3" s="268"/>
    </row>
    <row r="4" spans="1:8" ht="15.75" x14ac:dyDescent="0.25">
      <c r="A4" s="109" t="s">
        <v>44</v>
      </c>
      <c r="B4" s="276" t="s">
        <v>3</v>
      </c>
      <c r="C4" s="270"/>
      <c r="D4" s="270"/>
      <c r="E4" s="270"/>
      <c r="F4" s="268"/>
      <c r="G4" s="268"/>
      <c r="H4" s="268"/>
    </row>
    <row r="5" spans="1:8" x14ac:dyDescent="0.25">
      <c r="A5" s="263" t="s">
        <v>443</v>
      </c>
      <c r="B5" s="277"/>
      <c r="C5" s="278"/>
      <c r="D5" s="279"/>
      <c r="E5" s="268"/>
      <c r="F5" s="268"/>
      <c r="G5" s="268"/>
      <c r="H5" s="268"/>
    </row>
    <row r="6" spans="1:8" x14ac:dyDescent="0.25">
      <c r="A6" s="280" t="str">
        <f>'RECAP #9476.00'!B6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s="361" customFormat="1" x14ac:dyDescent="0.25">
      <c r="A9" s="351"/>
      <c r="B9" s="352"/>
      <c r="C9" s="353"/>
      <c r="D9" s="354" t="s">
        <v>73</v>
      </c>
      <c r="E9" s="354" t="s">
        <v>852</v>
      </c>
      <c r="F9" s="355">
        <v>45825</v>
      </c>
      <c r="G9" s="406">
        <v>225000</v>
      </c>
      <c r="H9" s="406">
        <v>225000</v>
      </c>
    </row>
    <row r="10" spans="1:8" s="361" customFormat="1" ht="12.75" customHeight="1" x14ac:dyDescent="0.25">
      <c r="A10" s="351"/>
      <c r="B10" s="351"/>
      <c r="C10" s="357"/>
      <c r="D10" s="354" t="s">
        <v>995</v>
      </c>
      <c r="E10" s="351" t="s">
        <v>1007</v>
      </c>
      <c r="F10" s="351">
        <v>45881</v>
      </c>
      <c r="G10" s="525">
        <v>-224341.04</v>
      </c>
      <c r="H10" s="525">
        <v>-224341.04</v>
      </c>
    </row>
    <row r="11" spans="1:8" s="361" customFormat="1" ht="12.75" customHeight="1" x14ac:dyDescent="0.25">
      <c r="A11" s="359"/>
      <c r="B11" s="357"/>
      <c r="C11" s="360"/>
      <c r="D11" s="354" t="s">
        <v>1059</v>
      </c>
      <c r="E11" s="354" t="s">
        <v>1078</v>
      </c>
      <c r="F11" s="351">
        <v>45902</v>
      </c>
      <c r="G11" s="406">
        <v>224341.04</v>
      </c>
      <c r="H11" s="406">
        <v>224341.04</v>
      </c>
    </row>
    <row r="12" spans="1:8" s="361" customFormat="1" ht="12.75" customHeight="1" x14ac:dyDescent="0.25">
      <c r="A12" s="359"/>
      <c r="B12" s="357"/>
      <c r="C12" s="364"/>
      <c r="D12" s="354" t="s">
        <v>1561</v>
      </c>
      <c r="E12" s="354" t="s">
        <v>1562</v>
      </c>
      <c r="F12" s="351">
        <v>46069</v>
      </c>
      <c r="G12" s="525">
        <v>-183023.24</v>
      </c>
      <c r="H12" s="525">
        <v>-183023.24</v>
      </c>
    </row>
    <row r="13" spans="1:8" s="361" customFormat="1" ht="12.75" customHeight="1" x14ac:dyDescent="0.25">
      <c r="A13" s="365"/>
      <c r="B13" s="366"/>
      <c r="C13" s="364"/>
      <c r="D13" s="354"/>
      <c r="F13" s="351"/>
      <c r="G13" s="367"/>
      <c r="H13" s="363"/>
    </row>
    <row r="14" spans="1:8" s="361" customFormat="1" ht="12.75" customHeight="1" x14ac:dyDescent="0.25">
      <c r="A14" s="359"/>
      <c r="B14" s="368"/>
      <c r="C14" s="364"/>
      <c r="D14" s="357"/>
      <c r="E14" s="368"/>
      <c r="F14" s="351"/>
      <c r="G14" s="362"/>
      <c r="H14" s="363"/>
    </row>
    <row r="15" spans="1:8" s="361" customFormat="1" ht="12.75" customHeight="1" x14ac:dyDescent="0.25">
      <c r="A15" s="359"/>
      <c r="B15" s="368"/>
      <c r="C15" s="369"/>
      <c r="D15" s="370"/>
      <c r="E15" s="366"/>
      <c r="F15" s="371"/>
      <c r="G15" s="372"/>
      <c r="H15" s="372"/>
    </row>
    <row r="16" spans="1:8" s="361" customFormat="1" ht="12.75" customHeight="1" x14ac:dyDescent="0.25">
      <c r="A16" s="359"/>
      <c r="B16" s="368"/>
      <c r="C16" s="369" t="s">
        <v>3</v>
      </c>
      <c r="D16" s="370"/>
      <c r="E16" s="368"/>
      <c r="F16" s="371"/>
      <c r="G16" s="372"/>
      <c r="H16" s="372"/>
    </row>
    <row r="17" spans="1:8" s="361" customFormat="1" ht="12.75" customHeight="1" x14ac:dyDescent="0.25">
      <c r="A17" s="359"/>
      <c r="B17" s="368"/>
      <c r="C17" s="369"/>
      <c r="D17" s="370"/>
      <c r="E17" s="368"/>
      <c r="F17" s="371"/>
      <c r="G17" s="373"/>
      <c r="H17" s="369"/>
    </row>
    <row r="18" spans="1:8" s="361" customFormat="1" ht="12.75" customHeight="1" x14ac:dyDescent="0.25">
      <c r="A18" s="359"/>
      <c r="B18" s="374"/>
      <c r="C18" s="369"/>
      <c r="D18" s="370"/>
      <c r="E18" s="368"/>
      <c r="F18" s="371"/>
      <c r="G18" s="372"/>
      <c r="H18" s="372"/>
    </row>
    <row r="19" spans="1:8" s="361" customFormat="1" ht="12.75" customHeight="1" x14ac:dyDescent="0.25">
      <c r="A19" s="359"/>
      <c r="B19" s="368"/>
      <c r="C19" s="369"/>
      <c r="D19" s="370"/>
      <c r="E19" s="368"/>
      <c r="F19" s="371"/>
      <c r="G19" s="372"/>
      <c r="H19" s="372"/>
    </row>
    <row r="20" spans="1:8" s="361" customFormat="1" ht="12.75" customHeight="1" x14ac:dyDescent="0.25">
      <c r="A20" s="359"/>
      <c r="B20" s="368"/>
      <c r="C20" s="369"/>
      <c r="D20" s="370"/>
      <c r="E20" s="368"/>
      <c r="F20" s="371"/>
      <c r="G20" s="373"/>
      <c r="H20" s="369"/>
    </row>
    <row r="21" spans="1:8" s="361" customFormat="1" ht="12.75" customHeight="1" x14ac:dyDescent="0.25">
      <c r="A21" s="359"/>
      <c r="B21" s="368"/>
      <c r="C21" s="369"/>
      <c r="D21" s="370"/>
      <c r="E21" s="368"/>
      <c r="F21" s="371"/>
      <c r="G21" s="373"/>
      <c r="H21" s="369"/>
    </row>
    <row r="22" spans="1:8" s="361" customFormat="1" ht="12.75" customHeight="1" x14ac:dyDescent="0.25">
      <c r="A22" s="359"/>
      <c r="B22" s="368"/>
      <c r="C22" s="369"/>
      <c r="D22" s="370"/>
      <c r="E22" s="368"/>
      <c r="F22" s="359"/>
      <c r="G22" s="372"/>
      <c r="H22" s="372"/>
    </row>
    <row r="23" spans="1:8" s="361" customFormat="1" ht="12.75" customHeight="1" x14ac:dyDescent="0.25">
      <c r="A23" s="359"/>
      <c r="B23" s="368"/>
      <c r="C23" s="369"/>
      <c r="D23" s="370"/>
      <c r="E23" s="368"/>
      <c r="F23" s="359"/>
      <c r="G23" s="372"/>
      <c r="H23" s="372"/>
    </row>
    <row r="24" spans="1:8" ht="15.75" thickBot="1" x14ac:dyDescent="0.3">
      <c r="A24" s="308"/>
      <c r="B24" s="309" t="s">
        <v>9</v>
      </c>
      <c r="C24" s="310">
        <f>SUM(C9:C23)</f>
        <v>0</v>
      </c>
      <c r="D24" s="311" t="s">
        <v>10</v>
      </c>
      <c r="E24" s="312"/>
      <c r="F24" s="313"/>
      <c r="G24" s="208">
        <f>SUM(G9:G23)</f>
        <v>41976.760000000009</v>
      </c>
      <c r="H24" s="208">
        <f>SUM(H9:H23)</f>
        <v>41976.760000000009</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A1:I3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1" customWidth="1"/>
    <col min="4" max="4" width="14.42578125" customWidth="1"/>
    <col min="5" max="5" width="13.5703125" customWidth="1"/>
    <col min="6" max="6" width="12.42578125" customWidth="1"/>
    <col min="7" max="7" width="10.5703125" customWidth="1"/>
    <col min="8" max="8" width="12.85546875" customWidth="1"/>
    <col min="9" max="9" width="6.140625"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520</v>
      </c>
      <c r="B4" s="126"/>
      <c r="C4" s="127"/>
      <c r="D4" s="128" t="s">
        <v>521</v>
      </c>
      <c r="E4" s="124"/>
      <c r="F4" s="124"/>
      <c r="G4" s="124"/>
      <c r="H4" s="125"/>
      <c r="I4" s="125"/>
    </row>
    <row r="5" spans="1:9" ht="15.75" x14ac:dyDescent="0.25">
      <c r="A5" s="129" t="s">
        <v>143</v>
      </c>
      <c r="B5" s="130"/>
      <c r="C5" s="131"/>
      <c r="D5" s="132" t="s">
        <v>627</v>
      </c>
      <c r="E5" s="133"/>
      <c r="F5" s="134"/>
      <c r="G5" s="134"/>
      <c r="H5" s="130"/>
      <c r="I5" s="125"/>
    </row>
    <row r="6" spans="1:9" ht="15.75" x14ac:dyDescent="0.25">
      <c r="A6" s="86" t="str">
        <f>'RECAP #9239.03'!B6</f>
        <v>Project Manager - Brad T</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ht="12.75" customHeight="1" x14ac:dyDescent="0.25">
      <c r="A9" s="144" t="s">
        <v>731</v>
      </c>
      <c r="B9" s="145">
        <v>45786</v>
      </c>
      <c r="C9" s="146" t="s">
        <v>107</v>
      </c>
      <c r="D9" s="163">
        <v>138405</v>
      </c>
      <c r="E9" s="147">
        <f>D9</f>
        <v>138405</v>
      </c>
      <c r="F9" s="148"/>
      <c r="G9" s="148"/>
      <c r="H9" s="148">
        <f>E9</f>
        <v>138405</v>
      </c>
      <c r="I9" s="149"/>
    </row>
    <row r="10" spans="1:9" ht="12.75" customHeight="1" x14ac:dyDescent="0.25">
      <c r="A10" s="387" t="s">
        <v>963</v>
      </c>
      <c r="B10" s="392">
        <v>45854</v>
      </c>
      <c r="C10" s="388" t="s">
        <v>1135</v>
      </c>
      <c r="D10" s="389"/>
      <c r="E10" s="389">
        <f t="shared" ref="E10:E21" si="0">E9+D10</f>
        <v>138405</v>
      </c>
      <c r="F10" s="393">
        <v>94959.5</v>
      </c>
      <c r="G10" s="390">
        <f t="shared" ref="G10:G21" si="1">G9+F10</f>
        <v>94959.5</v>
      </c>
      <c r="H10" s="390">
        <f t="shared" ref="H10:H21" si="2">H9-F10+D10</f>
        <v>43445.5</v>
      </c>
      <c r="I10" s="391" t="s">
        <v>1015</v>
      </c>
    </row>
    <row r="11" spans="1:9" ht="12.75" customHeight="1" x14ac:dyDescent="0.25">
      <c r="A11" s="144" t="s">
        <v>1138</v>
      </c>
      <c r="B11" s="145">
        <v>45889</v>
      </c>
      <c r="C11" s="146" t="s">
        <v>1017</v>
      </c>
      <c r="D11" s="163">
        <v>0</v>
      </c>
      <c r="E11" s="147">
        <f t="shared" si="0"/>
        <v>138405</v>
      </c>
      <c r="F11" s="150"/>
      <c r="G11" s="148">
        <f t="shared" si="1"/>
        <v>94959.5</v>
      </c>
      <c r="H11" s="148">
        <f t="shared" si="2"/>
        <v>43445.5</v>
      </c>
      <c r="I11" s="149"/>
    </row>
    <row r="12" spans="1:9" ht="12.75" customHeight="1" x14ac:dyDescent="0.25">
      <c r="A12" s="144" t="s">
        <v>1139</v>
      </c>
      <c r="B12" s="145">
        <v>45915</v>
      </c>
      <c r="C12" s="146" t="s">
        <v>1136</v>
      </c>
      <c r="D12" s="147"/>
      <c r="E12" s="147">
        <f t="shared" si="0"/>
        <v>138405</v>
      </c>
      <c r="F12" s="165">
        <v>6755.5</v>
      </c>
      <c r="G12" s="148">
        <f t="shared" si="1"/>
        <v>101715</v>
      </c>
      <c r="H12" s="148">
        <f t="shared" si="2"/>
        <v>36690</v>
      </c>
      <c r="I12" s="149"/>
    </row>
    <row r="13" spans="1:9" ht="12.75" customHeight="1" x14ac:dyDescent="0.25">
      <c r="A13" s="144"/>
      <c r="B13" s="145"/>
      <c r="C13" s="146"/>
      <c r="D13" s="147"/>
      <c r="E13" s="147">
        <f t="shared" si="0"/>
        <v>138405</v>
      </c>
      <c r="F13" s="150"/>
      <c r="G13" s="148">
        <f t="shared" si="1"/>
        <v>101715</v>
      </c>
      <c r="H13" s="148">
        <f t="shared" si="2"/>
        <v>36690</v>
      </c>
      <c r="I13" s="149"/>
    </row>
    <row r="14" spans="1:9" ht="12.75" customHeight="1" x14ac:dyDescent="0.25">
      <c r="A14" s="144"/>
      <c r="B14" s="145"/>
      <c r="C14" s="146"/>
      <c r="D14" s="147"/>
      <c r="E14" s="147">
        <f t="shared" si="0"/>
        <v>138405</v>
      </c>
      <c r="F14" s="148"/>
      <c r="G14" s="148">
        <f t="shared" si="1"/>
        <v>101715</v>
      </c>
      <c r="H14" s="148">
        <f t="shared" si="2"/>
        <v>36690</v>
      </c>
      <c r="I14" s="149"/>
    </row>
    <row r="15" spans="1:9" ht="12.75" customHeight="1" x14ac:dyDescent="0.25">
      <c r="A15" s="144"/>
      <c r="B15" s="145"/>
      <c r="C15" s="146"/>
      <c r="D15" s="147"/>
      <c r="E15" s="147">
        <f t="shared" si="0"/>
        <v>138405</v>
      </c>
      <c r="F15" s="150"/>
      <c r="G15" s="148">
        <f t="shared" si="1"/>
        <v>101715</v>
      </c>
      <c r="H15" s="148">
        <f t="shared" si="2"/>
        <v>36690</v>
      </c>
      <c r="I15" s="149"/>
    </row>
    <row r="16" spans="1:9" ht="12.75" customHeight="1" x14ac:dyDescent="0.25">
      <c r="A16" s="144"/>
      <c r="B16" s="145"/>
      <c r="C16" s="146"/>
      <c r="D16" s="147"/>
      <c r="E16" s="147">
        <f t="shared" si="0"/>
        <v>138405</v>
      </c>
      <c r="F16" s="150"/>
      <c r="G16" s="148">
        <f t="shared" si="1"/>
        <v>101715</v>
      </c>
      <c r="H16" s="148">
        <f t="shared" si="2"/>
        <v>36690</v>
      </c>
      <c r="I16" s="149"/>
    </row>
    <row r="17" spans="1:9" ht="12.75" customHeight="1" x14ac:dyDescent="0.25">
      <c r="A17" s="144"/>
      <c r="B17" s="145"/>
      <c r="C17" s="146"/>
      <c r="D17" s="147"/>
      <c r="E17" s="147">
        <f t="shared" si="0"/>
        <v>138405</v>
      </c>
      <c r="F17" s="150"/>
      <c r="G17" s="148">
        <f t="shared" si="1"/>
        <v>101715</v>
      </c>
      <c r="H17" s="148">
        <f t="shared" si="2"/>
        <v>36690</v>
      </c>
      <c r="I17" s="149"/>
    </row>
    <row r="18" spans="1:9" ht="12.75" customHeight="1" x14ac:dyDescent="0.25">
      <c r="A18" s="144"/>
      <c r="B18" s="145"/>
      <c r="C18" s="146"/>
      <c r="D18" s="147"/>
      <c r="E18" s="147">
        <f t="shared" si="0"/>
        <v>138405</v>
      </c>
      <c r="F18" s="150"/>
      <c r="G18" s="148">
        <f t="shared" si="1"/>
        <v>101715</v>
      </c>
      <c r="H18" s="148">
        <f t="shared" si="2"/>
        <v>36690</v>
      </c>
      <c r="I18" s="149"/>
    </row>
    <row r="19" spans="1:9" ht="12.75" customHeight="1" x14ac:dyDescent="0.25">
      <c r="A19" s="144"/>
      <c r="B19" s="145"/>
      <c r="C19" s="146"/>
      <c r="D19" s="147"/>
      <c r="E19" s="147">
        <f t="shared" si="0"/>
        <v>138405</v>
      </c>
      <c r="F19" s="148"/>
      <c r="G19" s="148">
        <f t="shared" si="1"/>
        <v>101715</v>
      </c>
      <c r="H19" s="148">
        <f t="shared" si="2"/>
        <v>36690</v>
      </c>
      <c r="I19" s="149"/>
    </row>
    <row r="20" spans="1:9" ht="12.75" customHeight="1" x14ac:dyDescent="0.25">
      <c r="A20" s="144"/>
      <c r="B20" s="145"/>
      <c r="C20" s="146"/>
      <c r="D20" s="147"/>
      <c r="E20" s="147">
        <f t="shared" si="0"/>
        <v>138405</v>
      </c>
      <c r="F20" s="148"/>
      <c r="G20" s="148">
        <f t="shared" si="1"/>
        <v>101715</v>
      </c>
      <c r="H20" s="148">
        <f t="shared" si="2"/>
        <v>36690</v>
      </c>
      <c r="I20" s="149"/>
    </row>
    <row r="21" spans="1:9" ht="12.75" customHeight="1" x14ac:dyDescent="0.25">
      <c r="A21" s="144"/>
      <c r="B21" s="145"/>
      <c r="C21" s="151"/>
      <c r="D21" s="147"/>
      <c r="E21" s="147">
        <f t="shared" si="0"/>
        <v>138405</v>
      </c>
      <c r="F21" s="148"/>
      <c r="G21" s="148">
        <f t="shared" si="1"/>
        <v>101715</v>
      </c>
      <c r="H21" s="148">
        <f t="shared" si="2"/>
        <v>36690</v>
      </c>
      <c r="I21" s="149"/>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138405</v>
      </c>
      <c r="E23" s="426"/>
      <c r="F23" s="426">
        <f>SUM(F9:F22)</f>
        <v>101715</v>
      </c>
      <c r="G23" s="426"/>
      <c r="H23" s="426">
        <f>D23-F23</f>
        <v>36690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51"/>
      <c r="B26" s="452"/>
      <c r="C26" s="425" t="s">
        <v>732</v>
      </c>
      <c r="D26" s="413"/>
      <c r="E26" s="413"/>
      <c r="F26" s="413"/>
      <c r="G26" s="413"/>
      <c r="H26" s="413"/>
      <c r="I26" s="414"/>
    </row>
    <row r="27" spans="1:9" s="330" customFormat="1" ht="12.75" customHeight="1" x14ac:dyDescent="0.25">
      <c r="A27" s="451"/>
      <c r="B27" s="452"/>
      <c r="C27" s="425" t="s">
        <v>299</v>
      </c>
      <c r="D27" s="413">
        <v>34160</v>
      </c>
      <c r="E27" s="413"/>
      <c r="F27" s="413">
        <v>34160</v>
      </c>
      <c r="G27" s="413"/>
      <c r="H27" s="413">
        <f>D27-F27</f>
        <v>0</v>
      </c>
      <c r="I27" s="414"/>
    </row>
    <row r="28" spans="1:9" s="330" customFormat="1" ht="12.75" customHeight="1" x14ac:dyDescent="0.25">
      <c r="A28" s="451"/>
      <c r="B28" s="452"/>
      <c r="C28" s="425" t="s">
        <v>175</v>
      </c>
      <c r="D28" s="413">
        <v>67555</v>
      </c>
      <c r="E28" s="413"/>
      <c r="F28" s="413">
        <f>60799.5+6755.5</f>
        <v>67555</v>
      </c>
      <c r="G28" s="413"/>
      <c r="H28" s="413">
        <f>D28-F28</f>
        <v>0</v>
      </c>
      <c r="I28" s="414"/>
    </row>
    <row r="29" spans="1:9" s="330" customFormat="1" ht="12.75" customHeight="1" x14ac:dyDescent="0.25">
      <c r="A29" s="451"/>
      <c r="B29" s="452"/>
      <c r="C29" s="425" t="s">
        <v>629</v>
      </c>
      <c r="D29" s="413">
        <v>8780</v>
      </c>
      <c r="E29" s="413"/>
      <c r="F29" s="413"/>
      <c r="G29" s="413"/>
      <c r="H29" s="413">
        <f>D29-F29</f>
        <v>8780</v>
      </c>
      <c r="I29" s="414"/>
    </row>
    <row r="30" spans="1:9" s="330" customFormat="1" ht="12.75" customHeight="1" x14ac:dyDescent="0.25">
      <c r="A30" s="451"/>
      <c r="B30" s="452"/>
      <c r="C30" s="425" t="s">
        <v>630</v>
      </c>
      <c r="D30" s="413">
        <v>27910</v>
      </c>
      <c r="E30" s="413"/>
      <c r="F30" s="413"/>
      <c r="G30" s="413"/>
      <c r="H30" s="413">
        <f>D30-F30</f>
        <v>27910</v>
      </c>
      <c r="I30" s="414"/>
    </row>
    <row r="31" spans="1:9" s="330" customFormat="1" ht="12.75" customHeight="1" thickBot="1" x14ac:dyDescent="0.3">
      <c r="A31" s="451"/>
      <c r="B31" s="452"/>
      <c r="C31" s="427" t="s">
        <v>555</v>
      </c>
      <c r="D31" s="426">
        <f>SUM(D27:D30)</f>
        <v>138405</v>
      </c>
      <c r="E31" s="427"/>
      <c r="F31" s="426">
        <f>SUM(F27:F30)</f>
        <v>101715</v>
      </c>
      <c r="G31" s="427"/>
      <c r="H31" s="426">
        <f>SUM(H27:H30)</f>
        <v>36690</v>
      </c>
      <c r="I31" s="414"/>
    </row>
    <row r="32" spans="1:9" s="330" customFormat="1" ht="12.75" customHeight="1" thickTop="1" x14ac:dyDescent="0.25">
      <c r="A32" s="451"/>
      <c r="B32" s="452"/>
      <c r="C32" s="453"/>
      <c r="D32" s="414"/>
      <c r="E32" s="451"/>
      <c r="F32" s="454"/>
      <c r="G32" s="454"/>
      <c r="H32" s="414"/>
      <c r="I32" s="414"/>
    </row>
    <row r="33" spans="1:9" x14ac:dyDescent="0.25">
      <c r="A33" s="156" t="s">
        <v>1137</v>
      </c>
      <c r="B33" s="157"/>
      <c r="C33" s="158"/>
      <c r="D33" s="149"/>
      <c r="E33" s="156"/>
      <c r="F33" s="159"/>
      <c r="G33" s="159"/>
      <c r="H33" s="149"/>
      <c r="I33" s="149"/>
    </row>
  </sheetData>
  <conditionalFormatting sqref="I9 I11:I26">
    <cfRule type="cellIs" dxfId="10" priority="1" stopIfTrue="1" operator="greaterThan">
      <formula>$H$23</formula>
    </cfRule>
  </conditionalFormatting>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79">
    <tabColor rgb="FF0070C0"/>
    <pageSetUpPr fitToPage="1"/>
  </sheetPr>
  <dimension ref="A1:I30"/>
  <sheetViews>
    <sheetView tabSelected="1" topLeftCell="A3"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30" style="282" bestFit="1" customWidth="1"/>
    <col min="4" max="4" width="14.42578125" style="282" customWidth="1"/>
    <col min="5" max="5" width="13.5703125" style="282" customWidth="1"/>
    <col min="6" max="6" width="12.42578125" style="282" customWidth="1"/>
    <col min="7" max="7" width="10.5703125" style="282" customWidth="1"/>
    <col min="8" max="8" width="11.28515625" style="282" bestFit="1" customWidth="1"/>
    <col min="9" max="9" width="7.5703125" style="282" customWidth="1"/>
    <col min="10" max="16384" width="11.42578125" style="282"/>
  </cols>
  <sheetData>
    <row r="1" spans="1:9" ht="15.75" x14ac:dyDescent="0.25">
      <c r="A1" s="109" t="str">
        <f>'RECAP #9476.00'!B1</f>
        <v>HHS STS New Garage Building</v>
      </c>
      <c r="B1" s="109"/>
      <c r="C1" s="179"/>
      <c r="D1" s="179"/>
      <c r="E1" s="179"/>
      <c r="F1" s="180"/>
      <c r="G1" s="180"/>
      <c r="H1" s="181"/>
      <c r="I1" s="181"/>
    </row>
    <row r="2" spans="1:9" ht="15.75" x14ac:dyDescent="0.25">
      <c r="A2" s="126" t="str">
        <f>'RECAP #9476.00'!B2</f>
        <v>Project # 9476.00</v>
      </c>
      <c r="B2" s="182"/>
      <c r="C2" s="179"/>
      <c r="D2" s="179"/>
      <c r="E2" s="179"/>
      <c r="F2" s="180"/>
      <c r="G2" s="180"/>
      <c r="H2" s="181"/>
      <c r="I2" s="181"/>
    </row>
    <row r="3" spans="1:9" ht="15.75" x14ac:dyDescent="0.25">
      <c r="A3" s="183" t="str">
        <f>'RECAP #9476.00'!B3</f>
        <v>Program code 947600</v>
      </c>
      <c r="B3" s="182"/>
      <c r="C3" s="179"/>
      <c r="D3" s="184" t="str">
        <f>'RECAP #9476.00'!E3</f>
        <v>Major Program 4B02</v>
      </c>
      <c r="E3" s="179"/>
      <c r="F3" s="180"/>
      <c r="G3" s="180"/>
      <c r="H3" s="181"/>
      <c r="I3" s="181"/>
    </row>
    <row r="4" spans="1:9" ht="15.75" x14ac:dyDescent="0.25">
      <c r="A4" s="109" t="s">
        <v>113</v>
      </c>
      <c r="B4" s="126"/>
      <c r="C4" s="181"/>
      <c r="D4" s="185" t="s">
        <v>115</v>
      </c>
      <c r="E4" s="180"/>
      <c r="F4" s="180"/>
      <c r="G4" s="180"/>
      <c r="H4" s="181"/>
      <c r="I4" s="181"/>
    </row>
    <row r="5" spans="1:9" ht="15.75" x14ac:dyDescent="0.25">
      <c r="A5" s="186" t="s">
        <v>109</v>
      </c>
      <c r="B5" s="181"/>
      <c r="C5" s="187"/>
      <c r="D5" s="132" t="s">
        <v>120</v>
      </c>
      <c r="E5" s="137"/>
      <c r="F5" s="180"/>
      <c r="G5" s="180"/>
      <c r="H5" s="181"/>
      <c r="I5" s="181"/>
    </row>
    <row r="6" spans="1:9" ht="15.75" x14ac:dyDescent="0.25">
      <c r="A6" s="126" t="str">
        <f>'RECAP #9476.00'!B6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892</v>
      </c>
      <c r="B9" s="500">
        <v>45835</v>
      </c>
      <c r="C9" s="501" t="s">
        <v>107</v>
      </c>
      <c r="D9" s="404">
        <v>14471.98</v>
      </c>
      <c r="E9" s="502">
        <f>D9</f>
        <v>14471.98</v>
      </c>
      <c r="F9" s="503"/>
      <c r="G9" s="503"/>
      <c r="H9" s="503">
        <f>E9</f>
        <v>14471.98</v>
      </c>
      <c r="I9" s="504"/>
    </row>
    <row r="10" spans="1:9" s="361" customFormat="1" ht="12.75" customHeight="1" x14ac:dyDescent="0.25">
      <c r="A10" s="505" t="s">
        <v>959</v>
      </c>
      <c r="B10" s="506">
        <v>45854</v>
      </c>
      <c r="C10" s="507" t="s">
        <v>960</v>
      </c>
      <c r="D10" s="508"/>
      <c r="E10" s="508">
        <f t="shared" ref="E10:E21" si="0">E9+D10</f>
        <v>14471.98</v>
      </c>
      <c r="F10" s="509">
        <v>291.05</v>
      </c>
      <c r="G10" s="510">
        <f t="shared" ref="G10:G21" si="1">G9+F10</f>
        <v>291.05</v>
      </c>
      <c r="H10" s="510">
        <f t="shared" ref="H10:H21" si="2">H9-F10+D10</f>
        <v>14180.93</v>
      </c>
      <c r="I10" s="511" t="s">
        <v>1015</v>
      </c>
    </row>
    <row r="11" spans="1:9" s="361" customFormat="1" ht="12.75" customHeight="1" x14ac:dyDescent="0.25">
      <c r="A11" s="499" t="s">
        <v>1051</v>
      </c>
      <c r="B11" s="500">
        <v>45890</v>
      </c>
      <c r="C11" s="501" t="s">
        <v>1017</v>
      </c>
      <c r="D11" s="512">
        <v>0</v>
      </c>
      <c r="E11" s="502">
        <f t="shared" si="0"/>
        <v>14471.98</v>
      </c>
      <c r="F11" s="406"/>
      <c r="G11" s="503">
        <f t="shared" si="1"/>
        <v>291.05</v>
      </c>
      <c r="H11" s="503">
        <f t="shared" si="2"/>
        <v>14180.93</v>
      </c>
      <c r="I11" s="504"/>
    </row>
    <row r="12" spans="1:9" s="361" customFormat="1" ht="12.75" customHeight="1" x14ac:dyDescent="0.25">
      <c r="A12" s="499" t="s">
        <v>1084</v>
      </c>
      <c r="B12" s="500">
        <v>45905</v>
      </c>
      <c r="C12" s="501" t="s">
        <v>1083</v>
      </c>
      <c r="D12" s="502"/>
      <c r="E12" s="502">
        <f t="shared" si="0"/>
        <v>14471.98</v>
      </c>
      <c r="F12" s="406">
        <v>2217.16</v>
      </c>
      <c r="G12" s="503">
        <f t="shared" si="1"/>
        <v>2508.21</v>
      </c>
      <c r="H12" s="503">
        <f t="shared" si="2"/>
        <v>11963.77</v>
      </c>
      <c r="I12" s="504"/>
    </row>
    <row r="13" spans="1:9" s="361" customFormat="1" ht="12.75" customHeight="1" x14ac:dyDescent="0.25">
      <c r="A13" s="499" t="s">
        <v>1125</v>
      </c>
      <c r="B13" s="500">
        <v>45915</v>
      </c>
      <c r="C13" s="501" t="s">
        <v>1126</v>
      </c>
      <c r="D13" s="502"/>
      <c r="E13" s="502">
        <f t="shared" si="0"/>
        <v>14471.98</v>
      </c>
      <c r="F13" s="406">
        <v>2953.71</v>
      </c>
      <c r="G13" s="503">
        <f t="shared" si="1"/>
        <v>5461.92</v>
      </c>
      <c r="H13" s="503">
        <f t="shared" si="2"/>
        <v>9010.0600000000013</v>
      </c>
      <c r="I13" s="504"/>
    </row>
    <row r="14" spans="1:9" s="361" customFormat="1" ht="12.75" customHeight="1" x14ac:dyDescent="0.25">
      <c r="A14" s="499" t="s">
        <v>1261</v>
      </c>
      <c r="B14" s="500">
        <v>45945</v>
      </c>
      <c r="C14" s="501" t="s">
        <v>1262</v>
      </c>
      <c r="D14" s="502"/>
      <c r="E14" s="502">
        <f t="shared" si="0"/>
        <v>14471.98</v>
      </c>
      <c r="F14" s="406">
        <v>1294.9000000000001</v>
      </c>
      <c r="G14" s="503">
        <f t="shared" si="1"/>
        <v>6756.82</v>
      </c>
      <c r="H14" s="503">
        <f t="shared" si="2"/>
        <v>7715.1600000000017</v>
      </c>
      <c r="I14" s="504"/>
    </row>
    <row r="15" spans="1:9" s="361" customFormat="1" ht="12.75" customHeight="1" x14ac:dyDescent="0.25">
      <c r="A15" s="499" t="s">
        <v>1335</v>
      </c>
      <c r="B15" s="500">
        <v>45974</v>
      </c>
      <c r="C15" s="501" t="s">
        <v>1336</v>
      </c>
      <c r="D15" s="502"/>
      <c r="E15" s="502">
        <f t="shared" si="0"/>
        <v>14471.98</v>
      </c>
      <c r="F15" s="406">
        <v>2668.19</v>
      </c>
      <c r="G15" s="503">
        <f t="shared" si="1"/>
        <v>9425.01</v>
      </c>
      <c r="H15" s="503">
        <f t="shared" si="2"/>
        <v>5046.9700000000012</v>
      </c>
      <c r="I15" s="504"/>
    </row>
    <row r="16" spans="1:9" s="361" customFormat="1" ht="12.75" customHeight="1" x14ac:dyDescent="0.25">
      <c r="A16" s="499" t="s">
        <v>1530</v>
      </c>
      <c r="B16" s="500">
        <v>46051</v>
      </c>
      <c r="C16" s="501" t="s">
        <v>1531</v>
      </c>
      <c r="D16" s="512">
        <v>-83.53</v>
      </c>
      <c r="E16" s="502">
        <f t="shared" si="0"/>
        <v>14388.449999999999</v>
      </c>
      <c r="F16" s="406">
        <v>4963.4399999999996</v>
      </c>
      <c r="G16" s="503">
        <f t="shared" si="1"/>
        <v>14388.45</v>
      </c>
      <c r="H16" s="503">
        <f t="shared" si="2"/>
        <v>1.5631940186722204E-12</v>
      </c>
      <c r="I16" s="504"/>
    </row>
    <row r="17" spans="1:9" s="361" customFormat="1" ht="12.75" customHeight="1" x14ac:dyDescent="0.25">
      <c r="A17" s="499"/>
      <c r="B17" s="500"/>
      <c r="C17" s="501"/>
      <c r="D17" s="502"/>
      <c r="E17" s="502">
        <f t="shared" si="0"/>
        <v>14388.449999999999</v>
      </c>
      <c r="F17" s="406"/>
      <c r="G17" s="503">
        <f t="shared" si="1"/>
        <v>14388.45</v>
      </c>
      <c r="H17" s="503">
        <f t="shared" si="2"/>
        <v>1.5631940186722204E-12</v>
      </c>
      <c r="I17" s="504"/>
    </row>
    <row r="18" spans="1:9" s="361" customFormat="1" ht="12.75" customHeight="1" x14ac:dyDescent="0.25">
      <c r="A18" s="499"/>
      <c r="B18" s="500"/>
      <c r="C18" s="501"/>
      <c r="D18" s="502"/>
      <c r="E18" s="502">
        <f t="shared" si="0"/>
        <v>14388.449999999999</v>
      </c>
      <c r="F18" s="406"/>
      <c r="G18" s="503">
        <f t="shared" si="1"/>
        <v>14388.45</v>
      </c>
      <c r="H18" s="503">
        <f t="shared" si="2"/>
        <v>1.5631940186722204E-12</v>
      </c>
      <c r="I18" s="504"/>
    </row>
    <row r="19" spans="1:9" s="361" customFormat="1" ht="12.75" customHeight="1" x14ac:dyDescent="0.25">
      <c r="A19" s="499"/>
      <c r="B19" s="500"/>
      <c r="C19" s="501"/>
      <c r="D19" s="502"/>
      <c r="E19" s="502">
        <f t="shared" si="0"/>
        <v>14388.449999999999</v>
      </c>
      <c r="F19" s="503"/>
      <c r="G19" s="503">
        <f t="shared" si="1"/>
        <v>14388.45</v>
      </c>
      <c r="H19" s="503">
        <f t="shared" si="2"/>
        <v>1.5631940186722204E-12</v>
      </c>
      <c r="I19" s="504"/>
    </row>
    <row r="20" spans="1:9" s="361" customFormat="1" ht="12.75" customHeight="1" x14ac:dyDescent="0.25">
      <c r="A20" s="499"/>
      <c r="B20" s="500"/>
      <c r="C20" s="501"/>
      <c r="D20" s="502"/>
      <c r="E20" s="502">
        <f t="shared" si="0"/>
        <v>14388.449999999999</v>
      </c>
      <c r="F20" s="503"/>
      <c r="G20" s="503">
        <f t="shared" si="1"/>
        <v>14388.45</v>
      </c>
      <c r="H20" s="503">
        <f t="shared" si="2"/>
        <v>1.5631940186722204E-12</v>
      </c>
      <c r="I20" s="504"/>
    </row>
    <row r="21" spans="1:9" s="361" customFormat="1" ht="12.75" customHeight="1" x14ac:dyDescent="0.25">
      <c r="A21" s="499"/>
      <c r="B21" s="500"/>
      <c r="C21" s="514"/>
      <c r="D21" s="502"/>
      <c r="E21" s="502">
        <f t="shared" si="0"/>
        <v>14388.449999999999</v>
      </c>
      <c r="F21" s="503"/>
      <c r="G21" s="503">
        <f t="shared" si="1"/>
        <v>14388.45</v>
      </c>
      <c r="H21" s="503">
        <f t="shared" si="2"/>
        <v>1.5631940186722204E-12</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14388.449999999999</v>
      </c>
      <c r="E23" s="405"/>
      <c r="F23" s="405">
        <f>SUM(F9:F22)</f>
        <v>14388.45</v>
      </c>
      <c r="G23" s="405"/>
      <c r="H23" s="405">
        <f>D23-F23</f>
        <v>0</v>
      </c>
      <c r="I23" s="533" t="s">
        <v>169</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192</v>
      </c>
      <c r="D26" s="503">
        <f>14231.98-3.53</f>
        <v>14228.449999999999</v>
      </c>
      <c r="E26" s="503"/>
      <c r="F26" s="503">
        <f>291.05+2137.16+2873.71+1294.9+2668.19+4963.44</f>
        <v>14228.45</v>
      </c>
      <c r="G26" s="503"/>
      <c r="H26" s="503">
        <f>D26-F26</f>
        <v>0</v>
      </c>
      <c r="I26" s="504"/>
    </row>
    <row r="27" spans="1:9" s="361" customFormat="1" ht="12.75" customHeight="1" x14ac:dyDescent="0.25">
      <c r="A27" s="499"/>
      <c r="B27" s="501"/>
      <c r="C27" s="515" t="s">
        <v>118</v>
      </c>
      <c r="D27" s="503">
        <f>240-80</f>
        <v>160</v>
      </c>
      <c r="E27" s="503"/>
      <c r="F27" s="503">
        <f>80+80</f>
        <v>160</v>
      </c>
      <c r="G27" s="503"/>
      <c r="H27" s="503">
        <f>D27-F27</f>
        <v>0</v>
      </c>
      <c r="I27" s="504"/>
    </row>
    <row r="28" spans="1:9" s="361" customFormat="1" ht="12.75" customHeight="1" thickBot="1" x14ac:dyDescent="0.3">
      <c r="A28" s="499"/>
      <c r="B28" s="501"/>
      <c r="C28" s="518" t="s">
        <v>555</v>
      </c>
      <c r="D28" s="405">
        <f>SUM(D24:D27)</f>
        <v>14388.449999999999</v>
      </c>
      <c r="E28" s="519"/>
      <c r="F28" s="405">
        <f>SUM(F24:F27)</f>
        <v>14388.45</v>
      </c>
      <c r="G28" s="519"/>
      <c r="H28" s="405">
        <f>SUM(H24:H27)</f>
        <v>0</v>
      </c>
      <c r="I28" s="504"/>
    </row>
    <row r="29" spans="1:9" s="361" customFormat="1" ht="12.75" customHeight="1" thickTop="1" x14ac:dyDescent="0.25"/>
    <row r="30" spans="1:9" s="361"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80">
    <tabColor rgb="FF0070C0"/>
    <pageSetUpPr fitToPage="1"/>
  </sheetPr>
  <dimension ref="A1:J34"/>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3" width="9.42578125" style="282" customWidth="1"/>
    <col min="4" max="4" width="37.140625" style="282" customWidth="1"/>
    <col min="5" max="5" width="21.7109375" style="282" customWidth="1"/>
    <col min="6" max="6" width="13.5703125" style="282" customWidth="1"/>
    <col min="7" max="7" width="12.42578125" style="282" customWidth="1"/>
    <col min="8" max="8" width="10.5703125" style="282" customWidth="1"/>
    <col min="9" max="9" width="10.5703125" style="282" bestFit="1" customWidth="1"/>
    <col min="10" max="16384" width="11.42578125" style="282"/>
  </cols>
  <sheetData>
    <row r="1" spans="1:10" ht="15.75" x14ac:dyDescent="0.25">
      <c r="A1" s="109" t="str">
        <f>'RECAP #9476.00'!B1</f>
        <v>HHS STS New Garage Building</v>
      </c>
      <c r="B1" s="109"/>
      <c r="C1" s="109"/>
      <c r="D1" s="179"/>
      <c r="E1" s="179"/>
      <c r="F1" s="179"/>
      <c r="G1" s="180"/>
      <c r="H1" s="180"/>
      <c r="I1" s="181"/>
      <c r="J1" s="181"/>
    </row>
    <row r="2" spans="1:10" ht="15.75" x14ac:dyDescent="0.25">
      <c r="A2" s="126" t="str">
        <f>'RECAP #9476.00'!B2</f>
        <v>Project # 9476.00</v>
      </c>
      <c r="B2" s="182"/>
      <c r="C2" s="182"/>
      <c r="D2" s="179"/>
      <c r="E2" s="179"/>
      <c r="F2" s="179"/>
      <c r="G2" s="180"/>
      <c r="H2" s="180"/>
      <c r="I2" s="181"/>
      <c r="J2" s="181"/>
    </row>
    <row r="3" spans="1:10" ht="15.75" x14ac:dyDescent="0.25">
      <c r="A3" s="183" t="str">
        <f>'RECAP #9476.00'!B3</f>
        <v>Program code 947600</v>
      </c>
      <c r="B3" s="182"/>
      <c r="C3" s="182"/>
      <c r="D3" s="179"/>
      <c r="E3" s="184" t="str">
        <f>'RECAP #9476.00'!E3</f>
        <v>Major Program 4B02</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#9476.00'!B6</f>
        <v>Project Manager - Jennifer K.</v>
      </c>
      <c r="B6" s="126"/>
      <c r="C6" s="126"/>
      <c r="D6" s="188"/>
      <c r="E6" s="132" t="s">
        <v>800</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61" customFormat="1" ht="12.75" customHeight="1" x14ac:dyDescent="0.25">
      <c r="A9" s="563"/>
      <c r="B9" s="500"/>
      <c r="C9" s="500"/>
      <c r="D9" s="515" t="s">
        <v>92</v>
      </c>
      <c r="E9" s="404">
        <f>8000+500-158.19</f>
        <v>8341.81</v>
      </c>
      <c r="F9" s="502">
        <f>E9</f>
        <v>8341.81</v>
      </c>
      <c r="G9" s="503"/>
      <c r="H9" s="503"/>
      <c r="I9" s="503">
        <f>F9</f>
        <v>8341.81</v>
      </c>
      <c r="J9" s="504"/>
    </row>
    <row r="10" spans="1:10" s="361" customFormat="1" ht="12.75" customHeight="1" x14ac:dyDescent="0.25">
      <c r="A10" s="564" t="s">
        <v>942</v>
      </c>
      <c r="B10" s="500">
        <v>45848</v>
      </c>
      <c r="C10" s="565">
        <v>2507</v>
      </c>
      <c r="D10" s="352" t="s">
        <v>943</v>
      </c>
      <c r="E10" s="502"/>
      <c r="F10" s="502">
        <f t="shared" ref="F10:F28" si="0">F9+E10</f>
        <v>8341.81</v>
      </c>
      <c r="G10" s="406">
        <f>19.47+22.44</f>
        <v>41.91</v>
      </c>
      <c r="H10" s="503">
        <f t="shared" ref="H10:H28" si="1">H9+G10</f>
        <v>41.91</v>
      </c>
      <c r="I10" s="503">
        <f t="shared" ref="I10:I28" si="2">I9-G10+E10</f>
        <v>8299.9</v>
      </c>
      <c r="J10" s="504"/>
    </row>
    <row r="11" spans="1:10" s="361" customFormat="1" ht="12.75" customHeight="1" x14ac:dyDescent="0.25">
      <c r="A11" s="564" t="s">
        <v>942</v>
      </c>
      <c r="B11" s="500">
        <v>45848</v>
      </c>
      <c r="C11" s="565">
        <v>9500</v>
      </c>
      <c r="D11" s="352" t="s">
        <v>944</v>
      </c>
      <c r="E11" s="502"/>
      <c r="F11" s="502">
        <f t="shared" si="0"/>
        <v>8341.81</v>
      </c>
      <c r="G11" s="406">
        <f>29+297</f>
        <v>326</v>
      </c>
      <c r="H11" s="503">
        <f t="shared" si="1"/>
        <v>367.90999999999997</v>
      </c>
      <c r="I11" s="503">
        <f t="shared" si="2"/>
        <v>7973.9</v>
      </c>
      <c r="J11" s="504"/>
    </row>
    <row r="12" spans="1:10" s="361" customFormat="1" ht="12.75" customHeight="1" x14ac:dyDescent="0.25">
      <c r="A12" s="564" t="s">
        <v>1009</v>
      </c>
      <c r="B12" s="500">
        <v>45876</v>
      </c>
      <c r="C12" s="565">
        <v>2507</v>
      </c>
      <c r="D12" s="352" t="s">
        <v>1010</v>
      </c>
      <c r="E12" s="502"/>
      <c r="F12" s="502">
        <f t="shared" si="0"/>
        <v>8341.81</v>
      </c>
      <c r="G12" s="406">
        <f>58.75+84.17</f>
        <v>142.92000000000002</v>
      </c>
      <c r="H12" s="503">
        <f t="shared" si="1"/>
        <v>510.83</v>
      </c>
      <c r="I12" s="503">
        <f t="shared" si="2"/>
        <v>7830.98</v>
      </c>
      <c r="J12" s="504"/>
    </row>
    <row r="13" spans="1:10" s="361" customFormat="1" ht="12.75" customHeight="1" x14ac:dyDescent="0.25">
      <c r="A13" s="564" t="s">
        <v>1009</v>
      </c>
      <c r="B13" s="500">
        <v>45876</v>
      </c>
      <c r="C13" s="565">
        <v>9500</v>
      </c>
      <c r="D13" s="352" t="s">
        <v>1011</v>
      </c>
      <c r="E13" s="502"/>
      <c r="F13" s="502">
        <f t="shared" si="0"/>
        <v>8341.81</v>
      </c>
      <c r="G13" s="406">
        <f>100+1467.4</f>
        <v>1567.4</v>
      </c>
      <c r="H13" s="503">
        <f t="shared" si="1"/>
        <v>2078.23</v>
      </c>
      <c r="I13" s="503">
        <f t="shared" si="2"/>
        <v>6263.58</v>
      </c>
      <c r="J13" s="504"/>
    </row>
    <row r="14" spans="1:10" s="361" customFormat="1" ht="12.75" customHeight="1" x14ac:dyDescent="0.25">
      <c r="A14" s="564" t="s">
        <v>1177</v>
      </c>
      <c r="B14" s="500">
        <v>45908</v>
      </c>
      <c r="C14" s="565">
        <v>2507</v>
      </c>
      <c r="D14" s="352" t="s">
        <v>1182</v>
      </c>
      <c r="E14" s="502"/>
      <c r="F14" s="502">
        <f t="shared" si="0"/>
        <v>8341.81</v>
      </c>
      <c r="G14" s="406">
        <v>238.72</v>
      </c>
      <c r="H14" s="503">
        <f t="shared" si="1"/>
        <v>2316.9499999999998</v>
      </c>
      <c r="I14" s="503">
        <f t="shared" si="2"/>
        <v>6024.86</v>
      </c>
      <c r="J14" s="504"/>
    </row>
    <row r="15" spans="1:10" s="361" customFormat="1" ht="12.75" customHeight="1" x14ac:dyDescent="0.25">
      <c r="A15" s="564" t="s">
        <v>1177</v>
      </c>
      <c r="B15" s="500">
        <v>45908</v>
      </c>
      <c r="C15" s="565">
        <v>9500</v>
      </c>
      <c r="D15" s="352" t="s">
        <v>1181</v>
      </c>
      <c r="E15" s="502"/>
      <c r="F15" s="502">
        <f t="shared" si="0"/>
        <v>8341.81</v>
      </c>
      <c r="G15" s="406">
        <v>1833.6</v>
      </c>
      <c r="H15" s="503">
        <f t="shared" si="1"/>
        <v>4150.5499999999993</v>
      </c>
      <c r="I15" s="503">
        <f t="shared" si="2"/>
        <v>4191.26</v>
      </c>
      <c r="J15" s="504"/>
    </row>
    <row r="16" spans="1:10" s="361" customFormat="1" ht="12.75" customHeight="1" x14ac:dyDescent="0.25">
      <c r="A16" s="564" t="s">
        <v>1233</v>
      </c>
      <c r="B16" s="500">
        <v>45937</v>
      </c>
      <c r="C16" s="565" t="s">
        <v>1234</v>
      </c>
      <c r="D16" s="352" t="s">
        <v>1235</v>
      </c>
      <c r="E16" s="502"/>
      <c r="F16" s="502">
        <f t="shared" si="0"/>
        <v>8341.81</v>
      </c>
      <c r="G16" s="406">
        <v>333.39</v>
      </c>
      <c r="H16" s="503">
        <f t="shared" si="1"/>
        <v>4483.9399999999996</v>
      </c>
      <c r="I16" s="503">
        <f t="shared" si="2"/>
        <v>3857.8700000000003</v>
      </c>
      <c r="J16" s="504"/>
    </row>
    <row r="17" spans="1:10" s="361" customFormat="1" ht="12.75" customHeight="1" x14ac:dyDescent="0.25">
      <c r="A17" s="564" t="s">
        <v>1233</v>
      </c>
      <c r="B17" s="500">
        <v>45937</v>
      </c>
      <c r="C17" s="565">
        <v>9500</v>
      </c>
      <c r="D17" s="352" t="s">
        <v>1236</v>
      </c>
      <c r="E17" s="502"/>
      <c r="F17" s="502">
        <f t="shared" si="0"/>
        <v>8341.81</v>
      </c>
      <c r="G17" s="406">
        <v>1715.6</v>
      </c>
      <c r="H17" s="503">
        <f t="shared" si="1"/>
        <v>6199.5399999999991</v>
      </c>
      <c r="I17" s="503">
        <f t="shared" si="2"/>
        <v>2142.2700000000004</v>
      </c>
      <c r="J17" s="504"/>
    </row>
    <row r="18" spans="1:10" s="361" customFormat="1" ht="12.75" customHeight="1" x14ac:dyDescent="0.25">
      <c r="A18" s="564" t="s">
        <v>1322</v>
      </c>
      <c r="B18" s="500">
        <v>45968</v>
      </c>
      <c r="C18" s="565" t="s">
        <v>1234</v>
      </c>
      <c r="D18" s="352" t="s">
        <v>1327</v>
      </c>
      <c r="E18" s="502"/>
      <c r="F18" s="502">
        <f t="shared" si="0"/>
        <v>8341.81</v>
      </c>
      <c r="G18" s="406">
        <v>71.84</v>
      </c>
      <c r="H18" s="503">
        <f t="shared" si="1"/>
        <v>6271.3799999999992</v>
      </c>
      <c r="I18" s="503">
        <f t="shared" si="2"/>
        <v>2070.4300000000003</v>
      </c>
      <c r="J18" s="504"/>
    </row>
    <row r="19" spans="1:10" s="361" customFormat="1" ht="12.75" customHeight="1" x14ac:dyDescent="0.25">
      <c r="A19" s="564" t="s">
        <v>1322</v>
      </c>
      <c r="B19" s="500">
        <v>45968</v>
      </c>
      <c r="C19" s="565">
        <v>9500</v>
      </c>
      <c r="D19" s="352" t="s">
        <v>1326</v>
      </c>
      <c r="E19" s="502"/>
      <c r="F19" s="502">
        <f t="shared" si="0"/>
        <v>8341.81</v>
      </c>
      <c r="G19" s="406">
        <v>769.3</v>
      </c>
      <c r="H19" s="503">
        <f t="shared" si="1"/>
        <v>7040.6799999999994</v>
      </c>
      <c r="I19" s="503">
        <f t="shared" si="2"/>
        <v>1301.1300000000003</v>
      </c>
      <c r="J19" s="504"/>
    </row>
    <row r="20" spans="1:10" s="361" customFormat="1" ht="12.75" customHeight="1" x14ac:dyDescent="0.2">
      <c r="A20" s="336" t="s">
        <v>1423</v>
      </c>
      <c r="B20" s="196">
        <v>45996</v>
      </c>
      <c r="C20" s="199" t="s">
        <v>1234</v>
      </c>
      <c r="D20" s="292" t="s">
        <v>1424</v>
      </c>
      <c r="E20" s="502"/>
      <c r="F20" s="502">
        <f t="shared" si="0"/>
        <v>8341.81</v>
      </c>
      <c r="G20" s="406">
        <v>110.05</v>
      </c>
      <c r="H20" s="503">
        <f t="shared" si="1"/>
        <v>7150.73</v>
      </c>
      <c r="I20" s="503">
        <f t="shared" si="2"/>
        <v>1191.0800000000004</v>
      </c>
      <c r="J20" s="504"/>
    </row>
    <row r="21" spans="1:10" s="361" customFormat="1" ht="12.75" customHeight="1" x14ac:dyDescent="0.2">
      <c r="A21" s="336" t="s">
        <v>1423</v>
      </c>
      <c r="B21" s="196">
        <v>45996</v>
      </c>
      <c r="C21" s="376">
        <v>9500</v>
      </c>
      <c r="D21" s="292" t="s">
        <v>1425</v>
      </c>
      <c r="E21" s="502"/>
      <c r="F21" s="502">
        <f t="shared" si="0"/>
        <v>8341.81</v>
      </c>
      <c r="G21" s="406">
        <v>699.9</v>
      </c>
      <c r="H21" s="503">
        <f t="shared" si="1"/>
        <v>7850.6299999999992</v>
      </c>
      <c r="I21" s="503">
        <f t="shared" si="2"/>
        <v>491.1800000000004</v>
      </c>
      <c r="J21" s="504"/>
    </row>
    <row r="22" spans="1:10" s="361" customFormat="1" ht="12.75" customHeight="1" x14ac:dyDescent="0.2">
      <c r="A22" s="336" t="s">
        <v>1482</v>
      </c>
      <c r="B22" s="196">
        <v>46030</v>
      </c>
      <c r="C22" s="199" t="s">
        <v>1234</v>
      </c>
      <c r="D22" s="292" t="s">
        <v>1483</v>
      </c>
      <c r="E22" s="502"/>
      <c r="F22" s="502">
        <f t="shared" si="0"/>
        <v>8341.81</v>
      </c>
      <c r="G22" s="406">
        <v>4.53</v>
      </c>
      <c r="H22" s="503">
        <f t="shared" si="1"/>
        <v>7855.1599999999989</v>
      </c>
      <c r="I22" s="503">
        <f t="shared" si="2"/>
        <v>486.65000000000043</v>
      </c>
      <c r="J22" s="504"/>
    </row>
    <row r="23" spans="1:10" s="361" customFormat="1" ht="12.75" customHeight="1" x14ac:dyDescent="0.2">
      <c r="A23" s="336" t="s">
        <v>1482</v>
      </c>
      <c r="B23" s="196">
        <v>46030</v>
      </c>
      <c r="C23" s="376">
        <v>9500</v>
      </c>
      <c r="D23" s="292" t="s">
        <v>1484</v>
      </c>
      <c r="E23" s="502"/>
      <c r="F23" s="502">
        <f t="shared" si="0"/>
        <v>8341.81</v>
      </c>
      <c r="G23" s="406">
        <v>48.1</v>
      </c>
      <c r="H23" s="503">
        <f t="shared" si="1"/>
        <v>7903.2599999999993</v>
      </c>
      <c r="I23" s="503">
        <f t="shared" si="2"/>
        <v>438.55000000000041</v>
      </c>
      <c r="J23" s="504"/>
    </row>
    <row r="24" spans="1:10" s="361" customFormat="1" ht="12.75" customHeight="1" x14ac:dyDescent="0.2">
      <c r="A24" s="336" t="s">
        <v>1545</v>
      </c>
      <c r="B24" s="196">
        <v>46062</v>
      </c>
      <c r="C24" s="199" t="s">
        <v>1234</v>
      </c>
      <c r="D24" s="292" t="s">
        <v>1546</v>
      </c>
      <c r="E24" s="502"/>
      <c r="F24" s="502">
        <f t="shared" si="0"/>
        <v>8341.81</v>
      </c>
      <c r="G24" s="406">
        <v>32.85</v>
      </c>
      <c r="H24" s="503">
        <f t="shared" si="1"/>
        <v>7936.11</v>
      </c>
      <c r="I24" s="503">
        <f t="shared" si="2"/>
        <v>405.70000000000039</v>
      </c>
      <c r="J24" s="504"/>
    </row>
    <row r="25" spans="1:10" s="361" customFormat="1" ht="12.75" customHeight="1" x14ac:dyDescent="0.2">
      <c r="A25" s="336" t="s">
        <v>1545</v>
      </c>
      <c r="B25" s="196">
        <v>46062</v>
      </c>
      <c r="C25" s="376">
        <v>9500</v>
      </c>
      <c r="D25" s="292" t="s">
        <v>1547</v>
      </c>
      <c r="E25" s="502"/>
      <c r="F25" s="502">
        <f t="shared" si="0"/>
        <v>8341.81</v>
      </c>
      <c r="G25" s="406">
        <v>405.7</v>
      </c>
      <c r="H25" s="503">
        <f t="shared" si="1"/>
        <v>8341.81</v>
      </c>
      <c r="I25" s="503">
        <f t="shared" si="2"/>
        <v>3.979039320256561E-13</v>
      </c>
      <c r="J25" s="504"/>
    </row>
    <row r="26" spans="1:10" s="361" customFormat="1" ht="12.75" customHeight="1" x14ac:dyDescent="0.2">
      <c r="A26" s="336"/>
      <c r="B26" s="196"/>
      <c r="C26" s="376"/>
      <c r="D26" s="292"/>
      <c r="E26" s="502"/>
      <c r="F26" s="502">
        <f t="shared" si="0"/>
        <v>8341.81</v>
      </c>
      <c r="G26" s="406"/>
      <c r="H26" s="503">
        <f t="shared" si="1"/>
        <v>8341.81</v>
      </c>
      <c r="I26" s="503">
        <f t="shared" si="2"/>
        <v>3.979039320256561E-13</v>
      </c>
      <c r="J26" s="504"/>
    </row>
    <row r="27" spans="1:10" s="361" customFormat="1" ht="12.75" customHeight="1" x14ac:dyDescent="0.2">
      <c r="A27" s="336"/>
      <c r="B27" s="196"/>
      <c r="C27" s="376"/>
      <c r="D27" s="292"/>
      <c r="E27" s="502"/>
      <c r="F27" s="502">
        <f t="shared" si="0"/>
        <v>8341.81</v>
      </c>
      <c r="G27" s="406"/>
      <c r="H27" s="503">
        <f t="shared" si="1"/>
        <v>8341.81</v>
      </c>
      <c r="I27" s="503">
        <f t="shared" si="2"/>
        <v>3.979039320256561E-13</v>
      </c>
      <c r="J27" s="504"/>
    </row>
    <row r="28" spans="1:10" s="361" customFormat="1" ht="12.75" customHeight="1" x14ac:dyDescent="0.2">
      <c r="A28" s="336"/>
      <c r="B28" s="196"/>
      <c r="C28" s="376"/>
      <c r="D28" s="292"/>
      <c r="E28" s="502"/>
      <c r="F28" s="502">
        <f t="shared" si="0"/>
        <v>8341.81</v>
      </c>
      <c r="G28" s="406"/>
      <c r="H28" s="503">
        <f t="shared" si="1"/>
        <v>8341.81</v>
      </c>
      <c r="I28" s="503">
        <f t="shared" si="2"/>
        <v>3.979039320256561E-13</v>
      </c>
      <c r="J28" s="504"/>
    </row>
    <row r="29" spans="1:10" s="361" customFormat="1" ht="12.75" customHeight="1" x14ac:dyDescent="0.25">
      <c r="A29" s="352"/>
      <c r="B29" s="501"/>
      <c r="C29" s="565"/>
      <c r="D29" s="515"/>
      <c r="E29" s="503"/>
      <c r="F29" s="503"/>
      <c r="G29" s="503"/>
      <c r="H29" s="503"/>
      <c r="I29" s="503"/>
      <c r="J29" s="504"/>
    </row>
    <row r="30" spans="1:10" s="361" customFormat="1" ht="12.75" customHeight="1" thickBot="1" x14ac:dyDescent="0.3">
      <c r="A30" s="352"/>
      <c r="B30" s="516"/>
      <c r="C30" s="565"/>
      <c r="D30" s="517" t="s">
        <v>54</v>
      </c>
      <c r="E30" s="405">
        <f>SUM(E9:E29)</f>
        <v>8341.81</v>
      </c>
      <c r="F30" s="405"/>
      <c r="G30" s="405">
        <f>SUM(G9:G29)</f>
        <v>8341.81</v>
      </c>
      <c r="H30" s="405"/>
      <c r="I30" s="405">
        <f>E30-G30</f>
        <v>0</v>
      </c>
      <c r="J30" s="504"/>
    </row>
    <row r="31" spans="1:10" s="361" customFormat="1" ht="12.75" customHeight="1" thickTop="1" x14ac:dyDescent="0.25"/>
    <row r="32" spans="1:10" s="361" customFormat="1" ht="12.75" customHeight="1" x14ac:dyDescent="0.25"/>
    <row r="33" s="361" customFormat="1" ht="12.75" customHeight="1" x14ac:dyDescent="0.25"/>
    <row r="34" s="361"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81">
    <tabColor rgb="FF0070C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6.42578125" customWidth="1"/>
    <col min="7" max="7" width="12.42578125" customWidth="1"/>
    <col min="8" max="8" width="15.42578125" customWidth="1"/>
  </cols>
  <sheetData>
    <row r="1" spans="1:8" ht="15.75" x14ac:dyDescent="0.25">
      <c r="A1" s="78" t="str">
        <f>'RECAP #9476.00'!B1</f>
        <v>HHS STS New Garage Building</v>
      </c>
      <c r="B1" s="79"/>
      <c r="C1" s="79"/>
      <c r="D1" s="79"/>
      <c r="E1" s="6"/>
      <c r="F1" s="6"/>
      <c r="G1" s="6"/>
      <c r="H1" s="124"/>
    </row>
    <row r="2" spans="1:8" ht="15.75" x14ac:dyDescent="0.25">
      <c r="A2" s="81" t="str">
        <f>'RECAP #9476.00'!B2</f>
        <v>Project # 9476.00</v>
      </c>
      <c r="B2" s="80"/>
      <c r="C2" s="80"/>
      <c r="D2" s="80"/>
      <c r="E2" s="6"/>
      <c r="F2" s="6"/>
      <c r="G2" s="6"/>
      <c r="H2" s="124"/>
    </row>
    <row r="3" spans="1:8" ht="15.75" x14ac:dyDescent="0.25">
      <c r="A3" s="82" t="str">
        <f>'RECAP #9476.00'!B3</f>
        <v>Program code 947600</v>
      </c>
      <c r="B3" s="80"/>
      <c r="C3" s="80"/>
      <c r="D3" s="80"/>
      <c r="E3" s="83" t="str">
        <f>'RECAP #9476.00'!E3</f>
        <v>Major Program 4B02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#9476.00'!B6</f>
        <v>Project Manager - Jennifer K.</v>
      </c>
      <c r="B6" s="86"/>
      <c r="C6" s="86"/>
      <c r="D6" s="86"/>
      <c r="E6" s="83" t="s">
        <v>334</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x14ac:dyDescent="0.25">
      <c r="A9" s="133" t="s">
        <v>1372</v>
      </c>
      <c r="B9" s="224">
        <v>45994</v>
      </c>
      <c r="C9" s="177">
        <v>9500</v>
      </c>
      <c r="D9" s="346" t="s">
        <v>322</v>
      </c>
      <c r="E9" s="133" t="s">
        <v>696</v>
      </c>
      <c r="F9" s="226" t="s">
        <v>1371</v>
      </c>
      <c r="G9" s="445">
        <v>336.5</v>
      </c>
      <c r="H9" s="155">
        <f>G9</f>
        <v>336.5</v>
      </c>
    </row>
    <row r="10" spans="1:8" x14ac:dyDescent="0.25">
      <c r="A10" s="144"/>
      <c r="B10" s="224"/>
      <c r="C10" s="225"/>
      <c r="D10" s="151"/>
      <c r="E10" s="133"/>
      <c r="F10" s="219"/>
      <c r="G10" s="155"/>
      <c r="H10" s="155">
        <f>H9+G10</f>
        <v>336.5</v>
      </c>
    </row>
    <row r="11" spans="1:8" x14ac:dyDescent="0.25">
      <c r="A11" s="144"/>
      <c r="B11" s="224"/>
      <c r="C11" s="225"/>
      <c r="D11" s="151"/>
      <c r="E11" s="133"/>
      <c r="F11" s="219"/>
      <c r="G11" s="155"/>
      <c r="H11" s="155">
        <f t="shared" ref="H11:H20" si="0">H10+G11</f>
        <v>336.5</v>
      </c>
    </row>
    <row r="12" spans="1:8" x14ac:dyDescent="0.25">
      <c r="A12" s="144" t="s">
        <v>3</v>
      </c>
      <c r="B12" s="224" t="s">
        <v>3</v>
      </c>
      <c r="C12" s="225"/>
      <c r="D12" s="151"/>
      <c r="E12" s="133" t="s">
        <v>3</v>
      </c>
      <c r="F12" s="219"/>
      <c r="G12" s="155"/>
      <c r="H12" s="155">
        <f t="shared" si="0"/>
        <v>336.5</v>
      </c>
    </row>
    <row r="13" spans="1:8" x14ac:dyDescent="0.25">
      <c r="A13" s="144" t="s">
        <v>3</v>
      </c>
      <c r="B13" s="224" t="s">
        <v>3</v>
      </c>
      <c r="C13" s="225"/>
      <c r="D13" s="151"/>
      <c r="E13" s="133" t="s">
        <v>3</v>
      </c>
      <c r="F13" s="219"/>
      <c r="G13" s="155"/>
      <c r="H13" s="155">
        <f t="shared" si="0"/>
        <v>336.5</v>
      </c>
    </row>
    <row r="14" spans="1:8" x14ac:dyDescent="0.25">
      <c r="A14" s="144"/>
      <c r="B14" s="224"/>
      <c r="C14" s="225"/>
      <c r="D14" s="151"/>
      <c r="E14" s="133"/>
      <c r="F14" s="219"/>
      <c r="G14" s="155"/>
      <c r="H14" s="155">
        <f t="shared" si="0"/>
        <v>336.5</v>
      </c>
    </row>
    <row r="15" spans="1:8" x14ac:dyDescent="0.25">
      <c r="A15" s="144"/>
      <c r="B15" s="224"/>
      <c r="C15" s="225"/>
      <c r="D15" s="151"/>
      <c r="E15" s="171"/>
      <c r="F15" s="219"/>
      <c r="G15" s="155"/>
      <c r="H15" s="155">
        <f t="shared" si="0"/>
        <v>336.5</v>
      </c>
    </row>
    <row r="16" spans="1:8" x14ac:dyDescent="0.25">
      <c r="A16" s="144"/>
      <c r="B16" s="224"/>
      <c r="C16" s="225"/>
      <c r="D16" s="151"/>
      <c r="E16" s="133"/>
      <c r="F16" s="219"/>
      <c r="G16" s="155"/>
      <c r="H16" s="155">
        <f t="shared" si="0"/>
        <v>336.5</v>
      </c>
    </row>
    <row r="17" spans="1:8" x14ac:dyDescent="0.25">
      <c r="A17" s="144"/>
      <c r="B17" s="224"/>
      <c r="C17" s="225"/>
      <c r="D17" s="151"/>
      <c r="E17" s="133"/>
      <c r="F17" s="219"/>
      <c r="G17" s="155"/>
      <c r="H17" s="155">
        <f t="shared" si="0"/>
        <v>336.5</v>
      </c>
    </row>
    <row r="18" spans="1:8" x14ac:dyDescent="0.25">
      <c r="A18" s="144"/>
      <c r="B18" s="224"/>
      <c r="C18" s="225"/>
      <c r="D18" s="151"/>
      <c r="E18" s="133"/>
      <c r="F18" s="219"/>
      <c r="G18" s="155"/>
      <c r="H18" s="155">
        <f t="shared" si="0"/>
        <v>336.5</v>
      </c>
    </row>
    <row r="19" spans="1:8" x14ac:dyDescent="0.25">
      <c r="A19" s="144"/>
      <c r="B19" s="224"/>
      <c r="C19" s="225"/>
      <c r="D19" s="151"/>
      <c r="E19" s="133"/>
      <c r="F19" s="219"/>
      <c r="G19" s="155"/>
      <c r="H19" s="155">
        <f t="shared" si="0"/>
        <v>336.5</v>
      </c>
    </row>
    <row r="20" spans="1:8" x14ac:dyDescent="0.25">
      <c r="A20" s="144"/>
      <c r="B20" s="224"/>
      <c r="C20" s="225"/>
      <c r="D20" s="151"/>
      <c r="E20" s="133"/>
      <c r="F20" s="219"/>
      <c r="G20" s="155"/>
      <c r="H20" s="155">
        <f t="shared" si="0"/>
        <v>336.5</v>
      </c>
    </row>
    <row r="21" spans="1:8" x14ac:dyDescent="0.25">
      <c r="A21" s="144"/>
      <c r="B21" s="227"/>
      <c r="C21" s="225"/>
      <c r="D21" s="151"/>
      <c r="E21" s="133"/>
      <c r="F21" s="155"/>
      <c r="G21" s="133"/>
      <c r="H21" s="155"/>
    </row>
    <row r="22" spans="1:8" ht="15.75" thickBot="1" x14ac:dyDescent="0.3">
      <c r="A22" s="172"/>
      <c r="B22" s="228"/>
      <c r="C22" s="229"/>
      <c r="D22" s="173"/>
      <c r="E22" s="174" t="s">
        <v>54</v>
      </c>
      <c r="F22" s="175"/>
      <c r="G22" s="123">
        <f>SUM(G9:G21)</f>
        <v>336.5</v>
      </c>
      <c r="H22" s="175"/>
    </row>
    <row r="23"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1E8C-F624-46DE-ABF3-9080AE615889}">
  <sheetPr codeName="Sheet182">
    <tabColor rgb="FF0070C0"/>
    <pageSetUpPr fitToPage="1"/>
  </sheetPr>
  <dimension ref="A1:I146"/>
  <sheetViews>
    <sheetView tabSelected="1" topLeftCell="A3"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30" style="282" bestFit="1" customWidth="1"/>
    <col min="4" max="4" width="14.42578125" style="282" customWidth="1"/>
    <col min="5" max="5" width="13.5703125" style="282" customWidth="1"/>
    <col min="6" max="6" width="12.42578125" style="282" customWidth="1"/>
    <col min="7" max="7" width="10.5703125" style="282" customWidth="1"/>
    <col min="8" max="8" width="11.28515625" style="282" bestFit="1" customWidth="1"/>
    <col min="9" max="9" width="7.5703125" style="282" customWidth="1"/>
    <col min="10" max="16384" width="11.42578125" style="282"/>
  </cols>
  <sheetData>
    <row r="1" spans="1:9" ht="15.75" x14ac:dyDescent="0.25">
      <c r="A1" s="109" t="str">
        <f>'RECAP #9476.00'!B1</f>
        <v>HHS STS New Garage Building</v>
      </c>
      <c r="B1" s="109"/>
      <c r="C1" s="179"/>
      <c r="D1" s="179"/>
      <c r="E1" s="179"/>
      <c r="F1" s="180"/>
      <c r="G1" s="180"/>
      <c r="H1" s="181"/>
      <c r="I1" s="181"/>
    </row>
    <row r="2" spans="1:9" ht="15.75" x14ac:dyDescent="0.25">
      <c r="A2" s="126" t="str">
        <f>'RECAP #9476.00'!B2</f>
        <v>Project # 9476.00</v>
      </c>
      <c r="B2" s="182"/>
      <c r="C2" s="179"/>
      <c r="D2" s="179"/>
      <c r="E2" s="179"/>
      <c r="F2" s="180"/>
      <c r="G2" s="180"/>
      <c r="H2" s="181"/>
      <c r="I2" s="181"/>
    </row>
    <row r="3" spans="1:9" ht="15.75" x14ac:dyDescent="0.25">
      <c r="A3" s="183" t="str">
        <f>'RECAP #9476.00'!B3</f>
        <v>Program code 947600</v>
      </c>
      <c r="B3" s="182"/>
      <c r="C3" s="179"/>
      <c r="D3" s="184" t="str">
        <f>'RECAP #9476.00'!E3</f>
        <v>Major Program 4B02</v>
      </c>
      <c r="E3" s="179"/>
      <c r="F3" s="180"/>
      <c r="G3" s="180"/>
      <c r="H3" s="181"/>
      <c r="I3" s="181"/>
    </row>
    <row r="4" spans="1:9" ht="15.75" x14ac:dyDescent="0.25">
      <c r="A4" s="109" t="s">
        <v>1091</v>
      </c>
      <c r="B4" s="126"/>
      <c r="C4" s="181"/>
      <c r="D4" s="185" t="s">
        <v>1092</v>
      </c>
      <c r="E4" s="180"/>
      <c r="F4" s="180"/>
      <c r="G4" s="180"/>
      <c r="H4" s="181"/>
      <c r="I4" s="181"/>
    </row>
    <row r="5" spans="1:9" ht="15.75" x14ac:dyDescent="0.25">
      <c r="A5" s="186" t="s">
        <v>143</v>
      </c>
      <c r="B5" s="181"/>
      <c r="C5" s="187"/>
      <c r="D5" s="132" t="s">
        <v>1093</v>
      </c>
      <c r="E5" s="137"/>
      <c r="F5" s="180"/>
      <c r="G5" s="180"/>
      <c r="H5" s="181"/>
      <c r="I5" s="181"/>
    </row>
    <row r="6" spans="1:9" ht="15.75" x14ac:dyDescent="0.25">
      <c r="A6" s="126" t="str">
        <f>'RECAP #9476.00'!B6</f>
        <v>Project Manager - Jennifer K.</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1088</v>
      </c>
      <c r="B9" s="500">
        <v>45903</v>
      </c>
      <c r="C9" s="501" t="s">
        <v>107</v>
      </c>
      <c r="D9" s="404">
        <v>28275</v>
      </c>
      <c r="E9" s="502">
        <f>D9</f>
        <v>28275</v>
      </c>
      <c r="F9" s="503"/>
      <c r="G9" s="503"/>
      <c r="H9" s="503">
        <f>E9</f>
        <v>28275</v>
      </c>
      <c r="I9" s="504"/>
    </row>
    <row r="10" spans="1:9" s="361" customFormat="1" ht="12.75" customHeight="1" x14ac:dyDescent="0.25">
      <c r="A10" s="499" t="s">
        <v>1088</v>
      </c>
      <c r="B10" s="365">
        <v>45915</v>
      </c>
      <c r="C10" s="501" t="s">
        <v>301</v>
      </c>
      <c r="D10" s="404">
        <v>3000</v>
      </c>
      <c r="E10" s="502">
        <f t="shared" ref="E10:E21" si="0">E9+D10</f>
        <v>31275</v>
      </c>
      <c r="F10" s="406"/>
      <c r="G10" s="503">
        <f t="shared" ref="G10:G21" si="1">G9+F10</f>
        <v>0</v>
      </c>
      <c r="H10" s="503">
        <f t="shared" ref="H10:H21" si="2">H9-F10+D10</f>
        <v>31275</v>
      </c>
      <c r="I10" s="580"/>
    </row>
    <row r="11" spans="1:9" s="361" customFormat="1" ht="12.75" customHeight="1" x14ac:dyDescent="0.25">
      <c r="A11" s="499" t="s">
        <v>1222</v>
      </c>
      <c r="B11" s="365">
        <v>45933</v>
      </c>
      <c r="C11" s="501" t="s">
        <v>1223</v>
      </c>
      <c r="D11" s="512"/>
      <c r="E11" s="502">
        <f t="shared" si="0"/>
        <v>31275</v>
      </c>
      <c r="F11" s="406">
        <v>13401</v>
      </c>
      <c r="G11" s="503">
        <f t="shared" si="1"/>
        <v>13401</v>
      </c>
      <c r="H11" s="503">
        <f t="shared" si="2"/>
        <v>17874</v>
      </c>
      <c r="I11" s="504"/>
    </row>
    <row r="12" spans="1:9" s="361" customFormat="1" ht="12.75" customHeight="1" x14ac:dyDescent="0.25">
      <c r="A12" s="499" t="s">
        <v>1303</v>
      </c>
      <c r="B12" s="500">
        <v>45965</v>
      </c>
      <c r="C12" s="501" t="s">
        <v>1304</v>
      </c>
      <c r="D12" s="502"/>
      <c r="E12" s="502">
        <f t="shared" si="0"/>
        <v>31275</v>
      </c>
      <c r="F12" s="406">
        <v>2219</v>
      </c>
      <c r="G12" s="503">
        <f t="shared" si="1"/>
        <v>15620</v>
      </c>
      <c r="H12" s="503">
        <f t="shared" si="2"/>
        <v>15655</v>
      </c>
      <c r="I12" s="504"/>
    </row>
    <row r="13" spans="1:9" s="361" customFormat="1" ht="12.75" customHeight="1" x14ac:dyDescent="0.25">
      <c r="A13" s="499" t="s">
        <v>1516</v>
      </c>
      <c r="B13" s="500">
        <v>46043</v>
      </c>
      <c r="C13" s="501" t="s">
        <v>1517</v>
      </c>
      <c r="D13" s="512">
        <v>-12365</v>
      </c>
      <c r="E13" s="502">
        <f t="shared" si="0"/>
        <v>18910</v>
      </c>
      <c r="F13" s="406">
        <v>3290</v>
      </c>
      <c r="G13" s="503">
        <f t="shared" si="1"/>
        <v>18910</v>
      </c>
      <c r="H13" s="503">
        <f t="shared" si="2"/>
        <v>0</v>
      </c>
      <c r="I13" s="504"/>
    </row>
    <row r="14" spans="1:9" s="361" customFormat="1" ht="12.75" customHeight="1" x14ac:dyDescent="0.25">
      <c r="A14" s="499"/>
      <c r="B14" s="500"/>
      <c r="C14" s="501"/>
      <c r="D14" s="502"/>
      <c r="E14" s="502">
        <f t="shared" si="0"/>
        <v>18910</v>
      </c>
      <c r="F14" s="503"/>
      <c r="G14" s="503">
        <f t="shared" si="1"/>
        <v>18910</v>
      </c>
      <c r="H14" s="503">
        <f t="shared" si="2"/>
        <v>0</v>
      </c>
      <c r="I14" s="504"/>
    </row>
    <row r="15" spans="1:9" s="361" customFormat="1" ht="12.75" customHeight="1" x14ac:dyDescent="0.25">
      <c r="A15" s="499"/>
      <c r="B15" s="500"/>
      <c r="C15" s="501"/>
      <c r="D15" s="502"/>
      <c r="E15" s="502">
        <f t="shared" si="0"/>
        <v>18910</v>
      </c>
      <c r="F15" s="406"/>
      <c r="G15" s="503">
        <f t="shared" si="1"/>
        <v>18910</v>
      </c>
      <c r="H15" s="503">
        <f t="shared" si="2"/>
        <v>0</v>
      </c>
      <c r="I15" s="504"/>
    </row>
    <row r="16" spans="1:9" s="361" customFormat="1" ht="12.75" customHeight="1" x14ac:dyDescent="0.25">
      <c r="A16" s="499"/>
      <c r="B16" s="500"/>
      <c r="C16" s="501"/>
      <c r="D16" s="502"/>
      <c r="E16" s="502">
        <f t="shared" si="0"/>
        <v>18910</v>
      </c>
      <c r="F16" s="406"/>
      <c r="G16" s="503">
        <f t="shared" si="1"/>
        <v>18910</v>
      </c>
      <c r="H16" s="503">
        <f t="shared" si="2"/>
        <v>0</v>
      </c>
      <c r="I16" s="504"/>
    </row>
    <row r="17" spans="1:9" s="361" customFormat="1" ht="12.75" customHeight="1" x14ac:dyDescent="0.25">
      <c r="A17" s="499"/>
      <c r="B17" s="500"/>
      <c r="C17" s="501"/>
      <c r="D17" s="502"/>
      <c r="E17" s="502">
        <f t="shared" si="0"/>
        <v>18910</v>
      </c>
      <c r="F17" s="406"/>
      <c r="G17" s="503">
        <f t="shared" si="1"/>
        <v>18910</v>
      </c>
      <c r="H17" s="503">
        <f t="shared" si="2"/>
        <v>0</v>
      </c>
      <c r="I17" s="504"/>
    </row>
    <row r="18" spans="1:9" s="361" customFormat="1" ht="12.75" customHeight="1" x14ac:dyDescent="0.25">
      <c r="A18" s="499"/>
      <c r="B18" s="500"/>
      <c r="C18" s="501"/>
      <c r="D18" s="502"/>
      <c r="E18" s="502">
        <f t="shared" si="0"/>
        <v>18910</v>
      </c>
      <c r="F18" s="406"/>
      <c r="G18" s="503">
        <f t="shared" si="1"/>
        <v>18910</v>
      </c>
      <c r="H18" s="503">
        <f t="shared" si="2"/>
        <v>0</v>
      </c>
      <c r="I18" s="504"/>
    </row>
    <row r="19" spans="1:9" s="361" customFormat="1" ht="12.75" customHeight="1" x14ac:dyDescent="0.25">
      <c r="A19" s="499"/>
      <c r="B19" s="500"/>
      <c r="C19" s="501"/>
      <c r="D19" s="502"/>
      <c r="E19" s="502">
        <f t="shared" si="0"/>
        <v>18910</v>
      </c>
      <c r="F19" s="503"/>
      <c r="G19" s="503">
        <f t="shared" si="1"/>
        <v>18910</v>
      </c>
      <c r="H19" s="503">
        <f t="shared" si="2"/>
        <v>0</v>
      </c>
      <c r="I19" s="504"/>
    </row>
    <row r="20" spans="1:9" s="361" customFormat="1" ht="12.75" customHeight="1" x14ac:dyDescent="0.25">
      <c r="A20" s="499"/>
      <c r="B20" s="500"/>
      <c r="C20" s="501"/>
      <c r="D20" s="502"/>
      <c r="E20" s="502">
        <f t="shared" si="0"/>
        <v>18910</v>
      </c>
      <c r="F20" s="503"/>
      <c r="G20" s="503">
        <f t="shared" si="1"/>
        <v>18910</v>
      </c>
      <c r="H20" s="503">
        <f t="shared" si="2"/>
        <v>0</v>
      </c>
      <c r="I20" s="504"/>
    </row>
    <row r="21" spans="1:9" s="361" customFormat="1" ht="12.75" customHeight="1" x14ac:dyDescent="0.25">
      <c r="A21" s="499"/>
      <c r="B21" s="500"/>
      <c r="C21" s="514"/>
      <c r="D21" s="502"/>
      <c r="E21" s="502">
        <f t="shared" si="0"/>
        <v>18910</v>
      </c>
      <c r="F21" s="503"/>
      <c r="G21" s="503">
        <f t="shared" si="1"/>
        <v>18910</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18910</v>
      </c>
      <c r="E23" s="405"/>
      <c r="F23" s="405">
        <f>SUM(F9:F22)</f>
        <v>18910</v>
      </c>
      <c r="G23" s="405"/>
      <c r="H23" s="405">
        <f>D23-F23</f>
        <v>0</v>
      </c>
      <c r="I23" s="533" t="s">
        <v>169</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299</v>
      </c>
      <c r="D26" s="503">
        <v>9280</v>
      </c>
      <c r="E26" s="503"/>
      <c r="F26" s="503">
        <v>9280</v>
      </c>
      <c r="G26" s="503"/>
      <c r="H26" s="503">
        <f>D26-F26</f>
        <v>0</v>
      </c>
      <c r="I26" s="504"/>
    </row>
    <row r="27" spans="1:9" s="361" customFormat="1" ht="12.75" customHeight="1" x14ac:dyDescent="0.25">
      <c r="A27" s="499"/>
      <c r="B27" s="501"/>
      <c r="C27" s="515" t="s">
        <v>1089</v>
      </c>
      <c r="D27" s="503">
        <v>6340</v>
      </c>
      <c r="E27" s="503"/>
      <c r="F27" s="503">
        <f>4121+2219</f>
        <v>6340</v>
      </c>
      <c r="G27" s="503"/>
      <c r="H27" s="503">
        <f>D27-F27</f>
        <v>0</v>
      </c>
      <c r="I27" s="504"/>
    </row>
    <row r="28" spans="1:9" s="361" customFormat="1" ht="12.75" customHeight="1" x14ac:dyDescent="0.25">
      <c r="A28" s="499"/>
      <c r="B28" s="501"/>
      <c r="C28" s="515" t="s">
        <v>1090</v>
      </c>
      <c r="D28" s="503">
        <f>1790-1500</f>
        <v>290</v>
      </c>
      <c r="E28" s="503"/>
      <c r="F28" s="503">
        <v>290</v>
      </c>
      <c r="G28" s="503"/>
      <c r="H28" s="503">
        <f>D28-F28</f>
        <v>0</v>
      </c>
      <c r="I28" s="504"/>
    </row>
    <row r="29" spans="1:9" s="361" customFormat="1" ht="12.75" customHeight="1" x14ac:dyDescent="0.25">
      <c r="A29" s="499"/>
      <c r="B29" s="501"/>
      <c r="C29" s="515" t="s">
        <v>150</v>
      </c>
      <c r="D29" s="503">
        <f>10865-10865</f>
        <v>0</v>
      </c>
      <c r="E29" s="503"/>
      <c r="F29" s="503"/>
      <c r="G29" s="503"/>
      <c r="H29" s="503">
        <f>D29-F29</f>
        <v>0</v>
      </c>
      <c r="I29" s="504"/>
    </row>
    <row r="30" spans="1:9" s="361" customFormat="1" ht="12.75" customHeight="1" x14ac:dyDescent="0.25">
      <c r="A30" s="499"/>
      <c r="B30" s="501"/>
      <c r="C30" s="515" t="s">
        <v>301</v>
      </c>
      <c r="D30" s="503">
        <v>3000</v>
      </c>
      <c r="E30" s="503"/>
      <c r="F30" s="503">
        <v>3000</v>
      </c>
      <c r="G30" s="503"/>
      <c r="H30" s="503">
        <f>D30-F30</f>
        <v>0</v>
      </c>
      <c r="I30" s="504"/>
    </row>
    <row r="31" spans="1:9" s="361" customFormat="1" ht="12.75" customHeight="1" thickBot="1" x14ac:dyDescent="0.3">
      <c r="A31" s="499"/>
      <c r="B31" s="501"/>
      <c r="C31" s="518" t="s">
        <v>555</v>
      </c>
      <c r="D31" s="405">
        <f>SUM(D24:D30)</f>
        <v>18910</v>
      </c>
      <c r="E31" s="519"/>
      <c r="F31" s="405">
        <f>SUM(F26:F30)</f>
        <v>18910</v>
      </c>
      <c r="G31" s="519"/>
      <c r="H31" s="405">
        <f>SUM(H26:H30)</f>
        <v>0</v>
      </c>
      <c r="I31" s="504"/>
    </row>
    <row r="32" spans="1:9" s="361" customFormat="1" ht="12.75" customHeight="1" thickTop="1" x14ac:dyDescent="0.25"/>
    <row r="33" s="361" customFormat="1" ht="12.75" customHeight="1" x14ac:dyDescent="0.25"/>
    <row r="34" s="361" customFormat="1" ht="12.75" customHeight="1" x14ac:dyDescent="0.25"/>
    <row r="35" s="361" customFormat="1" ht="12.75" customHeight="1" x14ac:dyDescent="0.25"/>
    <row r="36" s="361" customFormat="1" ht="12.75" customHeight="1" x14ac:dyDescent="0.25"/>
    <row r="37" s="361" customFormat="1" ht="12.75" customHeight="1" x14ac:dyDescent="0.25"/>
    <row r="38" s="361" customFormat="1" ht="12.75" customHeight="1" x14ac:dyDescent="0.25"/>
    <row r="39" s="361" customFormat="1" ht="12.75" customHeight="1" x14ac:dyDescent="0.25"/>
    <row r="40" s="361" customFormat="1" ht="12.75" customHeight="1" x14ac:dyDescent="0.25"/>
    <row r="41" s="361" customFormat="1" ht="12.75" customHeight="1" x14ac:dyDescent="0.25"/>
    <row r="42" s="361" customFormat="1" ht="12.75" customHeight="1" x14ac:dyDescent="0.25"/>
    <row r="43" s="361" customFormat="1" ht="12.75" customHeight="1" x14ac:dyDescent="0.25"/>
    <row r="44" s="361" customFormat="1" ht="12.75" customHeight="1" x14ac:dyDescent="0.25"/>
    <row r="45" s="361" customFormat="1" ht="12.75" customHeight="1" x14ac:dyDescent="0.25"/>
    <row r="46" s="361" customFormat="1" ht="12.75" customHeight="1" x14ac:dyDescent="0.25"/>
    <row r="47" s="361" customFormat="1" ht="12.75" customHeight="1" x14ac:dyDescent="0.25"/>
    <row r="48" s="361" customFormat="1" ht="12.75" customHeight="1" x14ac:dyDescent="0.25"/>
    <row r="49" s="361" customFormat="1" ht="12.75" customHeight="1" x14ac:dyDescent="0.25"/>
    <row r="50" s="361" customFormat="1" ht="12.75" customHeight="1" x14ac:dyDescent="0.25"/>
    <row r="51" s="361" customFormat="1" ht="12.75" customHeight="1" x14ac:dyDescent="0.25"/>
    <row r="52" s="361" customFormat="1" ht="12.75" customHeight="1" x14ac:dyDescent="0.25"/>
    <row r="53" s="361" customFormat="1" ht="12.75" customHeight="1" x14ac:dyDescent="0.25"/>
    <row r="54" s="361" customFormat="1" ht="12.75" customHeight="1" x14ac:dyDescent="0.25"/>
    <row r="55" s="361" customFormat="1" ht="12.75" customHeight="1" x14ac:dyDescent="0.25"/>
    <row r="56" s="361" customFormat="1" ht="12.75" customHeight="1" x14ac:dyDescent="0.25"/>
    <row r="57" s="361" customFormat="1" ht="12.75" customHeight="1" x14ac:dyDescent="0.25"/>
    <row r="58" s="361" customFormat="1" ht="12.75" customHeight="1" x14ac:dyDescent="0.25"/>
    <row r="59" s="361" customFormat="1" ht="12.75" customHeight="1" x14ac:dyDescent="0.25"/>
    <row r="60" s="361" customFormat="1" ht="12.75" customHeight="1" x14ac:dyDescent="0.25"/>
    <row r="61" s="361" customFormat="1" ht="12.75" customHeight="1" x14ac:dyDescent="0.25"/>
    <row r="62" s="361" customFormat="1" ht="12.75" customHeight="1" x14ac:dyDescent="0.25"/>
    <row r="63" s="361" customFormat="1" ht="12.75" customHeight="1" x14ac:dyDescent="0.25"/>
    <row r="64" s="361" customFormat="1" ht="12.75" customHeight="1" x14ac:dyDescent="0.25"/>
    <row r="65" s="361" customFormat="1" ht="12.75" customHeight="1" x14ac:dyDescent="0.25"/>
    <row r="66" s="361" customFormat="1" ht="12.75" customHeight="1" x14ac:dyDescent="0.25"/>
    <row r="67" s="361" customFormat="1" ht="12.75" customHeight="1" x14ac:dyDescent="0.25"/>
    <row r="68" s="361" customFormat="1" ht="12.75" customHeight="1" x14ac:dyDescent="0.25"/>
    <row r="69" s="361" customFormat="1" ht="12.75" customHeight="1" x14ac:dyDescent="0.25"/>
    <row r="70" s="361" customFormat="1" ht="12.75" customHeight="1" x14ac:dyDescent="0.25"/>
    <row r="71" s="361" customFormat="1" ht="12.75" customHeight="1" x14ac:dyDescent="0.25"/>
    <row r="72" s="361" customFormat="1" ht="12.75" customHeight="1" x14ac:dyDescent="0.25"/>
    <row r="73" s="361" customFormat="1" ht="12.75" customHeight="1" x14ac:dyDescent="0.25"/>
    <row r="74" s="361" customFormat="1" ht="12.75" customHeight="1" x14ac:dyDescent="0.25"/>
    <row r="75" s="361" customFormat="1" ht="12.75" customHeight="1" x14ac:dyDescent="0.25"/>
    <row r="76" s="361" customFormat="1" ht="12.75" customHeight="1" x14ac:dyDescent="0.25"/>
    <row r="77" s="361" customFormat="1" ht="12.75" customHeight="1" x14ac:dyDescent="0.25"/>
    <row r="78" s="361" customFormat="1" ht="12.75" customHeight="1" x14ac:dyDescent="0.25"/>
    <row r="79" s="361" customFormat="1" ht="12.75" customHeight="1" x14ac:dyDescent="0.25"/>
    <row r="80" s="361" customFormat="1" ht="12.75" customHeight="1" x14ac:dyDescent="0.25"/>
    <row r="81" s="361" customFormat="1" ht="12.75" customHeight="1" x14ac:dyDescent="0.25"/>
    <row r="82" s="361" customFormat="1" ht="12.75" customHeight="1" x14ac:dyDescent="0.25"/>
    <row r="83" s="361" customFormat="1" ht="12.75" customHeight="1" x14ac:dyDescent="0.25"/>
    <row r="84" s="361" customFormat="1" ht="12.75" customHeight="1" x14ac:dyDescent="0.25"/>
    <row r="85" s="361" customFormat="1" ht="12.75" customHeight="1" x14ac:dyDescent="0.25"/>
    <row r="86" s="361" customFormat="1" ht="12.75" customHeight="1" x14ac:dyDescent="0.25"/>
    <row r="87" s="361" customFormat="1" ht="12.75" customHeight="1" x14ac:dyDescent="0.25"/>
    <row r="88" s="361" customFormat="1" ht="12.75" customHeight="1" x14ac:dyDescent="0.25"/>
    <row r="89" s="361" customFormat="1" ht="12.75" customHeight="1" x14ac:dyDescent="0.25"/>
    <row r="90" s="361" customFormat="1" ht="12.75" customHeight="1" x14ac:dyDescent="0.25"/>
    <row r="91" s="361" customFormat="1" ht="12.75" customHeight="1" x14ac:dyDescent="0.25"/>
    <row r="92" s="361" customFormat="1" ht="12.75" customHeight="1" x14ac:dyDescent="0.25"/>
    <row r="93" s="361" customFormat="1" ht="12.75" customHeight="1" x14ac:dyDescent="0.25"/>
    <row r="94" s="361" customFormat="1" ht="12.75" customHeight="1" x14ac:dyDescent="0.25"/>
    <row r="95" s="361" customFormat="1" ht="12.75" customHeight="1" x14ac:dyDescent="0.25"/>
    <row r="96" s="361" customFormat="1" ht="12.75" customHeight="1" x14ac:dyDescent="0.25"/>
    <row r="97" s="361" customFormat="1" ht="12.75" customHeight="1" x14ac:dyDescent="0.25"/>
    <row r="98" s="361" customFormat="1" ht="12.75" customHeight="1" x14ac:dyDescent="0.25"/>
    <row r="99" s="361" customFormat="1" ht="12.75" customHeight="1" x14ac:dyDescent="0.25"/>
    <row r="100" s="361" customFormat="1" ht="12.75" customHeight="1" x14ac:dyDescent="0.25"/>
    <row r="101" s="361" customFormat="1" ht="12.75" customHeight="1" x14ac:dyDescent="0.25"/>
    <row r="102" s="361" customFormat="1" ht="12.75" customHeight="1" x14ac:dyDescent="0.25"/>
    <row r="103" s="361" customFormat="1" ht="12.75" customHeight="1" x14ac:dyDescent="0.25"/>
    <row r="104" s="361" customFormat="1" ht="12.75" customHeight="1" x14ac:dyDescent="0.25"/>
    <row r="105" s="361" customFormat="1" ht="12.75" customHeight="1" x14ac:dyDescent="0.25"/>
    <row r="106" s="361" customFormat="1" ht="12.75" customHeight="1" x14ac:dyDescent="0.25"/>
    <row r="107" s="361" customFormat="1" ht="12.75" customHeight="1" x14ac:dyDescent="0.25"/>
    <row r="108" s="361" customFormat="1" ht="12.75" customHeight="1" x14ac:dyDescent="0.25"/>
    <row r="109" s="361" customFormat="1" ht="12.75" customHeight="1" x14ac:dyDescent="0.25"/>
    <row r="110" s="361" customFormat="1" ht="12.75" customHeight="1" x14ac:dyDescent="0.25"/>
    <row r="111" s="361" customFormat="1" ht="12.75" customHeight="1" x14ac:dyDescent="0.25"/>
    <row r="112" s="361" customFormat="1" ht="12.75" customHeight="1" x14ac:dyDescent="0.25"/>
    <row r="113" s="361" customFormat="1" ht="12.75" customHeight="1" x14ac:dyDescent="0.25"/>
    <row r="114" s="361" customFormat="1" ht="12.75" customHeight="1" x14ac:dyDescent="0.25"/>
    <row r="115" s="361" customFormat="1" ht="12.75" customHeight="1" x14ac:dyDescent="0.25"/>
    <row r="116" s="361" customFormat="1" ht="12.75" customHeight="1" x14ac:dyDescent="0.25"/>
    <row r="117" s="361" customFormat="1" ht="12.75" customHeight="1" x14ac:dyDescent="0.25"/>
    <row r="118" s="361" customFormat="1" ht="12.75" customHeight="1" x14ac:dyDescent="0.25"/>
    <row r="119" s="361" customFormat="1" ht="12.75" customHeight="1" x14ac:dyDescent="0.25"/>
    <row r="120" s="361" customFormat="1" ht="12.75" customHeight="1" x14ac:dyDescent="0.25"/>
    <row r="121" s="361" customFormat="1" ht="12.75" customHeight="1" x14ac:dyDescent="0.25"/>
    <row r="122" s="361" customFormat="1" ht="12.75" customHeight="1" x14ac:dyDescent="0.25"/>
    <row r="123" s="361" customFormat="1" ht="12.75" customHeight="1" x14ac:dyDescent="0.25"/>
    <row r="124" s="361" customFormat="1" ht="12.75" customHeight="1" x14ac:dyDescent="0.25"/>
    <row r="125" s="361" customFormat="1" ht="12.75" customHeight="1" x14ac:dyDescent="0.25"/>
    <row r="126" s="361" customFormat="1" ht="12.75" customHeight="1" x14ac:dyDescent="0.25"/>
    <row r="127" s="361" customFormat="1" ht="12.75" customHeight="1" x14ac:dyDescent="0.25"/>
    <row r="128" s="361" customFormat="1" ht="12.75" customHeight="1" x14ac:dyDescent="0.25"/>
    <row r="129" s="361" customFormat="1" ht="12.75" customHeight="1" x14ac:dyDescent="0.25"/>
    <row r="130" s="361" customFormat="1" ht="12.75" customHeight="1" x14ac:dyDescent="0.25"/>
    <row r="131" s="361" customFormat="1" ht="12.75" customHeight="1" x14ac:dyDescent="0.25"/>
    <row r="132" s="361" customFormat="1" ht="12.75" customHeight="1" x14ac:dyDescent="0.25"/>
    <row r="133" s="361" customFormat="1" ht="12.75" customHeight="1" x14ac:dyDescent="0.25"/>
    <row r="134" s="361" customFormat="1" ht="12.75" customHeight="1" x14ac:dyDescent="0.25"/>
    <row r="135" s="361" customFormat="1" ht="12.75" customHeight="1" x14ac:dyDescent="0.25"/>
    <row r="136" s="361" customFormat="1" ht="12.75" customHeight="1" x14ac:dyDescent="0.25"/>
    <row r="137" s="361" customFormat="1" ht="12.75" customHeight="1" x14ac:dyDescent="0.25"/>
    <row r="138" s="361" customFormat="1" ht="12.75" customHeight="1" x14ac:dyDescent="0.25"/>
    <row r="139" s="361" customFormat="1" ht="12.75" customHeight="1" x14ac:dyDescent="0.25"/>
    <row r="140" s="361" customFormat="1" ht="12.75" customHeight="1" x14ac:dyDescent="0.25"/>
    <row r="141" s="361" customFormat="1" ht="12.75" customHeight="1" x14ac:dyDescent="0.25"/>
    <row r="142" s="361" customFormat="1" ht="12.75" customHeight="1" x14ac:dyDescent="0.25"/>
    <row r="143" s="361" customFormat="1" ht="12.75" customHeight="1" x14ac:dyDescent="0.25"/>
    <row r="144" s="361" customFormat="1" ht="12.75" customHeight="1" x14ac:dyDescent="0.25"/>
    <row r="145" s="361" customFormat="1" ht="12.75" customHeight="1" x14ac:dyDescent="0.25"/>
    <row r="146" s="361"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83">
    <pageSetUpPr fitToPage="1"/>
  </sheetPr>
  <dimension ref="A1:G16"/>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77"/>
      <c r="B1" s="78" t="s">
        <v>880</v>
      </c>
      <c r="C1" s="79"/>
      <c r="D1" s="6"/>
      <c r="E1" s="6"/>
      <c r="F1" s="6"/>
      <c r="G1" s="6"/>
    </row>
    <row r="2" spans="1:7" ht="15.75" x14ac:dyDescent="0.25">
      <c r="A2" s="77"/>
      <c r="B2" s="81" t="s">
        <v>881</v>
      </c>
      <c r="C2" s="80"/>
      <c r="D2" s="6"/>
      <c r="E2" s="6"/>
      <c r="F2" s="6"/>
      <c r="G2" s="6"/>
    </row>
    <row r="3" spans="1:7" ht="15.75" x14ac:dyDescent="0.25">
      <c r="A3" s="77"/>
      <c r="B3" s="82" t="s">
        <v>882</v>
      </c>
      <c r="C3" s="80"/>
      <c r="D3" s="6"/>
      <c r="E3" s="83" t="s">
        <v>883</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70</v>
      </c>
      <c r="C6" s="87"/>
      <c r="D6" s="88" t="s">
        <v>3</v>
      </c>
      <c r="E6" s="6"/>
      <c r="F6" s="6"/>
      <c r="G6" s="6"/>
    </row>
    <row r="7" spans="1:7" ht="33" customHeight="1" thickBot="1" x14ac:dyDescent="0.3">
      <c r="A7" s="77"/>
      <c r="B7" s="89" t="s">
        <v>3</v>
      </c>
      <c r="C7" s="90" t="s">
        <v>0</v>
      </c>
      <c r="D7" s="91" t="s">
        <v>1</v>
      </c>
      <c r="E7" s="92" t="s">
        <v>2</v>
      </c>
      <c r="F7" s="93" t="s">
        <v>37</v>
      </c>
      <c r="G7" s="93" t="s">
        <v>38</v>
      </c>
    </row>
    <row r="8" spans="1:7" ht="28.35" customHeight="1" x14ac:dyDescent="0.25">
      <c r="A8" s="77"/>
      <c r="B8" s="80" t="s">
        <v>39</v>
      </c>
      <c r="C8" s="94">
        <f>'#9480.00 Funds Rec''d'!H24</f>
        <v>25000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170</v>
      </c>
      <c r="B10" s="474" t="s">
        <v>113</v>
      </c>
      <c r="C10" s="475"/>
      <c r="D10" s="479">
        <f>'#9480.00 McGough Construction'!D23</f>
        <v>7211.25</v>
      </c>
      <c r="E10" s="479">
        <f>'#9480.00 McGough Construction'!F23</f>
        <v>7211.25</v>
      </c>
      <c r="F10" s="479">
        <f>'#9480.00 McGough Construction'!H23</f>
        <v>0</v>
      </c>
      <c r="G10" s="477"/>
    </row>
    <row r="11" spans="1:7" s="330" customFormat="1" ht="12.75" customHeight="1" x14ac:dyDescent="0.25">
      <c r="A11" s="478" t="s">
        <v>170</v>
      </c>
      <c r="B11" s="474" t="s">
        <v>41</v>
      </c>
      <c r="C11" s="475"/>
      <c r="D11" s="479">
        <f>'#9480.00 PM Time'!E23</f>
        <v>5482.75</v>
      </c>
      <c r="E11" s="479">
        <f>'#9480.00 PM Time'!G23</f>
        <v>5482.75</v>
      </c>
      <c r="F11" s="479">
        <f>'#9480.00 PM Time'!I23</f>
        <v>0</v>
      </c>
      <c r="G11" s="477"/>
    </row>
    <row r="12" spans="1:7" s="330" customFormat="1" ht="12.75" customHeight="1" x14ac:dyDescent="0.25">
      <c r="A12" s="478" t="s">
        <v>170</v>
      </c>
      <c r="B12" s="474" t="s">
        <v>42</v>
      </c>
      <c r="C12" s="476"/>
      <c r="D12" s="463">
        <f>'#9480.00 Misc'!G22</f>
        <v>1556</v>
      </c>
      <c r="E12" s="463">
        <f>'#9480.00 Misc'!G22</f>
        <v>1556</v>
      </c>
      <c r="F12" s="479">
        <f>D12-E12</f>
        <v>0</v>
      </c>
      <c r="G12" s="477"/>
    </row>
    <row r="13" spans="1:7" s="330" customFormat="1" ht="12.75" customHeight="1" x14ac:dyDescent="0.25">
      <c r="A13" s="478" t="s">
        <v>170</v>
      </c>
      <c r="B13" s="474" t="s">
        <v>900</v>
      </c>
      <c r="C13" s="476"/>
      <c r="D13" s="463">
        <f>'#9480.00 Genesis Architectural'!D23</f>
        <v>10750</v>
      </c>
      <c r="E13" s="463">
        <f>'#9480.00 Genesis Architectural'!F23</f>
        <v>10750</v>
      </c>
      <c r="F13" s="479">
        <f>'#9480.00 Genesis Architectural'!H23</f>
        <v>0</v>
      </c>
      <c r="G13" s="477"/>
    </row>
    <row r="14" spans="1:7" s="330" customFormat="1" ht="12.75" customHeight="1" x14ac:dyDescent="0.25">
      <c r="A14" s="473"/>
      <c r="B14" s="474"/>
      <c r="C14" s="476"/>
      <c r="D14" s="463"/>
      <c r="E14" s="463"/>
      <c r="F14" s="479"/>
      <c r="G14" s="477"/>
    </row>
    <row r="15" spans="1:7" ht="24" customHeight="1" thickBot="1" x14ac:dyDescent="0.3">
      <c r="A15" s="100"/>
      <c r="B15" s="101" t="s">
        <v>43</v>
      </c>
      <c r="C15" s="102">
        <f>SUM(C8:C14)</f>
        <v>25000</v>
      </c>
      <c r="D15" s="102">
        <f>SUM(D8:D14)</f>
        <v>25000</v>
      </c>
      <c r="E15" s="102">
        <f>SUM(E8:E14)</f>
        <v>25000</v>
      </c>
      <c r="F15" s="102">
        <f>SUM(D15-E15)</f>
        <v>0</v>
      </c>
      <c r="G15" s="102">
        <f>C15-D15</f>
        <v>0</v>
      </c>
    </row>
    <row r="16" spans="1:7" ht="15" customHeight="1" thickTop="1" x14ac:dyDescent="0.25"/>
  </sheetData>
  <pageMargins left="0.25" right="0.25" top="0.94562500000000005"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184">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40.28515625" customWidth="1"/>
    <col min="5" max="5" width="25.42578125" customWidth="1"/>
    <col min="6" max="6" width="10.42578125" bestFit="1" customWidth="1"/>
    <col min="7" max="8" width="12.42578125" bestFit="1" customWidth="1"/>
    <col min="9" max="11" width="9.140625" customWidth="1"/>
  </cols>
  <sheetData>
    <row r="1" spans="1:8" x14ac:dyDescent="0.25">
      <c r="A1" s="104" t="str">
        <f>'RECAP #9480.00'!B1</f>
        <v>HHS STS Canteen Roof Repair Design (29C20)</v>
      </c>
      <c r="B1" s="7"/>
      <c r="C1" s="2"/>
      <c r="D1" s="3"/>
      <c r="E1" s="3"/>
      <c r="F1" s="7"/>
      <c r="G1" s="7"/>
      <c r="H1" s="7"/>
    </row>
    <row r="2" spans="1:8" x14ac:dyDescent="0.25">
      <c r="A2" s="105" t="str">
        <f>'RECAP #9480.00'!B2</f>
        <v>Project # 9480.00</v>
      </c>
      <c r="B2" s="7"/>
      <c r="C2" s="106" t="s">
        <v>3</v>
      </c>
      <c r="D2" s="1"/>
      <c r="E2" s="1"/>
      <c r="F2" s="7"/>
      <c r="G2" s="7"/>
      <c r="H2" s="7"/>
    </row>
    <row r="3" spans="1:8" x14ac:dyDescent="0.25">
      <c r="A3" s="107" t="str">
        <f>'RECAP #9480.00'!B3</f>
        <v>Program code 948000</v>
      </c>
      <c r="B3" s="7"/>
      <c r="C3" s="106" t="s">
        <v>3</v>
      </c>
      <c r="D3" s="108" t="str">
        <f>'RECAP #9480.00'!E3</f>
        <v>Major Program 3D02</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#9480.00'!B6</f>
        <v>Project Manager - Jennifer K.</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s="330" customFormat="1" x14ac:dyDescent="0.25">
      <c r="A9" s="230"/>
      <c r="B9" s="231"/>
      <c r="C9" s="232"/>
      <c r="D9" s="233" t="s">
        <v>73</v>
      </c>
      <c r="E9" s="233" t="s">
        <v>890</v>
      </c>
      <c r="F9" s="234">
        <v>45833</v>
      </c>
      <c r="G9" s="445">
        <v>25000</v>
      </c>
      <c r="H9" s="445">
        <v>25000</v>
      </c>
    </row>
    <row r="10" spans="1:8" s="330" customFormat="1" ht="12.75" customHeight="1" x14ac:dyDescent="0.25">
      <c r="A10" s="230"/>
      <c r="B10" s="230"/>
      <c r="C10" s="236"/>
      <c r="D10" s="233" t="s">
        <v>995</v>
      </c>
      <c r="E10" s="230" t="s">
        <v>1008</v>
      </c>
      <c r="F10" s="230">
        <v>45881</v>
      </c>
      <c r="G10" s="534">
        <v>-21024.9</v>
      </c>
      <c r="H10" s="534">
        <v>-21024.9</v>
      </c>
    </row>
    <row r="11" spans="1:8" s="330" customFormat="1" ht="12.75" customHeight="1" x14ac:dyDescent="0.25">
      <c r="A11" s="237"/>
      <c r="B11" s="236"/>
      <c r="C11" s="238"/>
      <c r="D11" s="230" t="s">
        <v>1208</v>
      </c>
      <c r="E11" s="230" t="s">
        <v>1077</v>
      </c>
      <c r="F11" s="230">
        <v>45902</v>
      </c>
      <c r="G11" s="445">
        <v>21024.9</v>
      </c>
      <c r="H11" s="445">
        <v>21024.9</v>
      </c>
    </row>
    <row r="12" spans="1:8" s="330" customFormat="1" ht="12.75" customHeight="1" x14ac:dyDescent="0.25">
      <c r="A12" s="237"/>
      <c r="B12" s="236"/>
      <c r="C12" s="239"/>
      <c r="D12" s="233"/>
      <c r="F12" s="230"/>
      <c r="G12" s="331"/>
      <c r="H12" s="332"/>
    </row>
    <row r="13" spans="1:8" s="330" customFormat="1" ht="12.75" customHeight="1" x14ac:dyDescent="0.25">
      <c r="A13" s="240"/>
      <c r="B13" s="241"/>
      <c r="C13" s="239"/>
      <c r="D13" s="233"/>
      <c r="F13" s="230"/>
      <c r="G13" s="333"/>
      <c r="H13" s="334"/>
    </row>
    <row r="14" spans="1:8" s="330" customFormat="1" ht="12.75" customHeight="1" x14ac:dyDescent="0.25">
      <c r="A14" s="237"/>
      <c r="B14" s="242"/>
      <c r="C14" s="239"/>
      <c r="D14" s="236"/>
      <c r="E14" s="242"/>
      <c r="F14" s="230"/>
      <c r="G14" s="331"/>
      <c r="H14" s="332"/>
    </row>
    <row r="15" spans="1:8" s="330" customFormat="1" ht="12.75" customHeight="1" x14ac:dyDescent="0.25">
      <c r="A15" s="237"/>
      <c r="B15" s="242"/>
      <c r="C15" s="243"/>
      <c r="D15" s="244"/>
      <c r="E15" s="241"/>
      <c r="F15" s="245"/>
      <c r="G15" s="246"/>
      <c r="H15" s="246"/>
    </row>
    <row r="16" spans="1:8" s="330" customFormat="1" ht="12.75" customHeight="1" x14ac:dyDescent="0.25">
      <c r="A16" s="237"/>
      <c r="B16" s="242"/>
      <c r="C16" s="243" t="s">
        <v>3</v>
      </c>
      <c r="D16" s="244"/>
      <c r="E16" s="242"/>
      <c r="F16" s="245"/>
      <c r="G16" s="246"/>
      <c r="H16" s="246"/>
    </row>
    <row r="17" spans="1:8" s="330" customFormat="1" ht="12.75" customHeight="1" x14ac:dyDescent="0.25">
      <c r="A17" s="237"/>
      <c r="B17" s="242"/>
      <c r="C17" s="243"/>
      <c r="D17" s="244"/>
      <c r="E17" s="242"/>
      <c r="F17" s="245"/>
      <c r="G17" s="247"/>
      <c r="H17" s="243"/>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25000</v>
      </c>
      <c r="H24" s="123">
        <f>SUM(H9:H23)</f>
        <v>25000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185">
    <tabColor rgb="FF0070C0"/>
    <pageSetUpPr fitToPage="1"/>
  </sheetPr>
  <dimension ref="A1:I102"/>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85546875" customWidth="1"/>
  </cols>
  <sheetData>
    <row r="1" spans="1:9" ht="15.75" x14ac:dyDescent="0.25">
      <c r="A1" s="109" t="str">
        <f>'RECAP #9480.00'!B1</f>
        <v>HHS STS Canteen Roof Repair Design (29C20)</v>
      </c>
      <c r="B1" s="109"/>
      <c r="C1" s="179"/>
      <c r="D1" s="179"/>
      <c r="E1" s="179"/>
      <c r="F1" s="180"/>
      <c r="G1" s="180"/>
      <c r="H1" s="181"/>
      <c r="I1" s="181"/>
    </row>
    <row r="2" spans="1:9" ht="15.75" x14ac:dyDescent="0.25">
      <c r="A2" s="126" t="str">
        <f>'RECAP #9480.00'!B2</f>
        <v>Project # 9480.00</v>
      </c>
      <c r="B2" s="182"/>
      <c r="C2" s="179"/>
      <c r="D2" s="179"/>
      <c r="E2" s="179"/>
      <c r="F2" s="180"/>
      <c r="G2" s="180"/>
      <c r="H2" s="181"/>
      <c r="I2" s="181"/>
    </row>
    <row r="3" spans="1:9" ht="15.75" x14ac:dyDescent="0.25">
      <c r="A3" s="183" t="str">
        <f>'RECAP #9480.00'!B3</f>
        <v>Program code 948000</v>
      </c>
      <c r="B3" s="182"/>
      <c r="C3" s="179"/>
      <c r="D3" s="184" t="str">
        <f>'RECAP #9480.00'!E3</f>
        <v>Major Program 3D02</v>
      </c>
      <c r="E3" s="179"/>
      <c r="F3" s="180"/>
      <c r="G3" s="180"/>
      <c r="H3" s="181"/>
      <c r="I3" s="181"/>
    </row>
    <row r="4" spans="1:9" ht="15.75" x14ac:dyDescent="0.25">
      <c r="A4" s="109" t="s">
        <v>113</v>
      </c>
      <c r="B4" s="126"/>
      <c r="C4" s="181"/>
      <c r="D4" s="185" t="s">
        <v>115</v>
      </c>
      <c r="E4" s="180"/>
      <c r="F4" s="180"/>
      <c r="G4" s="180"/>
      <c r="H4" s="181"/>
      <c r="I4" s="181"/>
    </row>
    <row r="5" spans="1:9" ht="15.75" x14ac:dyDescent="0.25">
      <c r="A5" s="186" t="s">
        <v>109</v>
      </c>
      <c r="B5" s="181"/>
      <c r="C5" s="187"/>
      <c r="D5" s="132" t="s">
        <v>120</v>
      </c>
      <c r="E5" s="137"/>
      <c r="F5" s="180"/>
      <c r="G5" s="180"/>
      <c r="H5" s="181"/>
      <c r="I5" s="181"/>
    </row>
    <row r="6" spans="1:9" ht="15.75" x14ac:dyDescent="0.25">
      <c r="A6" s="126" t="str">
        <f>'RECAP #9480.00'!B6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542" t="s">
        <v>891</v>
      </c>
      <c r="B9" s="543">
        <v>301478</v>
      </c>
      <c r="C9" s="544" t="s">
        <v>107</v>
      </c>
      <c r="D9" s="545">
        <v>7306.88</v>
      </c>
      <c r="E9" s="546">
        <f>D9</f>
        <v>7306.88</v>
      </c>
      <c r="F9" s="547"/>
      <c r="G9" s="547"/>
      <c r="H9" s="547">
        <f>E9</f>
        <v>7306.88</v>
      </c>
      <c r="I9" s="511" t="s">
        <v>1015</v>
      </c>
    </row>
    <row r="10" spans="1:9" s="330" customFormat="1" ht="12.75" customHeight="1" x14ac:dyDescent="0.25">
      <c r="A10" s="499" t="s">
        <v>1052</v>
      </c>
      <c r="B10" s="500">
        <v>45890</v>
      </c>
      <c r="C10" s="501" t="s">
        <v>1017</v>
      </c>
      <c r="D10" s="512">
        <v>0</v>
      </c>
      <c r="E10" s="502">
        <f t="shared" ref="E10:E21" si="0">E9+D10</f>
        <v>7306.88</v>
      </c>
      <c r="F10" s="406"/>
      <c r="G10" s="503">
        <f t="shared" ref="G10:G21" si="1">G9+F10</f>
        <v>0</v>
      </c>
      <c r="H10" s="503">
        <f t="shared" ref="H10:H21" si="2">H9-F10+D10</f>
        <v>7306.88</v>
      </c>
      <c r="I10" s="504"/>
    </row>
    <row r="11" spans="1:9" s="330" customFormat="1" ht="12.75" customHeight="1" x14ac:dyDescent="0.25">
      <c r="A11" s="499" t="s">
        <v>1085</v>
      </c>
      <c r="B11" s="500">
        <v>45905</v>
      </c>
      <c r="C11" s="501" t="s">
        <v>1086</v>
      </c>
      <c r="D11" s="502"/>
      <c r="E11" s="502">
        <f t="shared" si="0"/>
        <v>7306.88</v>
      </c>
      <c r="F11" s="406">
        <v>3641.15</v>
      </c>
      <c r="G11" s="503">
        <f t="shared" si="1"/>
        <v>3641.15</v>
      </c>
      <c r="H11" s="503">
        <f t="shared" si="2"/>
        <v>3665.73</v>
      </c>
      <c r="I11" s="504"/>
    </row>
    <row r="12" spans="1:9" s="330" customFormat="1" ht="12.75" customHeight="1" x14ac:dyDescent="0.25">
      <c r="A12" s="499" t="s">
        <v>1152</v>
      </c>
      <c r="B12" s="500">
        <v>45915</v>
      </c>
      <c r="C12" s="501" t="s">
        <v>1153</v>
      </c>
      <c r="D12" s="512">
        <v>-95.63</v>
      </c>
      <c r="E12" s="502">
        <f t="shared" si="0"/>
        <v>7211.25</v>
      </c>
      <c r="F12" s="406">
        <v>3570.1</v>
      </c>
      <c r="G12" s="503">
        <f t="shared" si="1"/>
        <v>7211.25</v>
      </c>
      <c r="H12" s="503">
        <f t="shared" si="2"/>
        <v>1.1368683772161603E-13</v>
      </c>
      <c r="I12" s="504"/>
    </row>
    <row r="13" spans="1:9" s="330" customFormat="1" ht="12.75" customHeight="1" x14ac:dyDescent="0.25">
      <c r="A13" s="499"/>
      <c r="B13" s="500"/>
      <c r="C13" s="501"/>
      <c r="D13" s="502"/>
      <c r="E13" s="502">
        <f t="shared" si="0"/>
        <v>7211.25</v>
      </c>
      <c r="F13" s="406"/>
      <c r="G13" s="503">
        <f t="shared" si="1"/>
        <v>7211.25</v>
      </c>
      <c r="H13" s="503">
        <f t="shared" si="2"/>
        <v>1.1368683772161603E-13</v>
      </c>
      <c r="I13" s="504"/>
    </row>
    <row r="14" spans="1:9" s="330" customFormat="1" ht="12.75" customHeight="1" x14ac:dyDescent="0.25">
      <c r="A14" s="499"/>
      <c r="B14" s="500"/>
      <c r="C14" s="501"/>
      <c r="D14" s="502"/>
      <c r="E14" s="502">
        <f t="shared" si="0"/>
        <v>7211.25</v>
      </c>
      <c r="F14" s="503"/>
      <c r="G14" s="503">
        <f t="shared" si="1"/>
        <v>7211.25</v>
      </c>
      <c r="H14" s="503">
        <f t="shared" si="2"/>
        <v>1.1368683772161603E-13</v>
      </c>
      <c r="I14" s="504"/>
    </row>
    <row r="15" spans="1:9" s="330" customFormat="1" ht="12.75" customHeight="1" x14ac:dyDescent="0.25">
      <c r="A15" s="499"/>
      <c r="B15" s="500"/>
      <c r="C15" s="501"/>
      <c r="D15" s="502"/>
      <c r="E15" s="502">
        <f t="shared" si="0"/>
        <v>7211.25</v>
      </c>
      <c r="F15" s="406"/>
      <c r="G15" s="503">
        <f t="shared" si="1"/>
        <v>7211.25</v>
      </c>
      <c r="H15" s="503">
        <f t="shared" si="2"/>
        <v>1.1368683772161603E-13</v>
      </c>
      <c r="I15" s="504"/>
    </row>
    <row r="16" spans="1:9" s="330" customFormat="1" ht="12.75" customHeight="1" x14ac:dyDescent="0.25">
      <c r="A16" s="499"/>
      <c r="B16" s="500"/>
      <c r="C16" s="501"/>
      <c r="D16" s="502"/>
      <c r="E16" s="502">
        <f t="shared" si="0"/>
        <v>7211.25</v>
      </c>
      <c r="F16" s="406"/>
      <c r="G16" s="503">
        <f t="shared" si="1"/>
        <v>7211.25</v>
      </c>
      <c r="H16" s="503">
        <f t="shared" si="2"/>
        <v>1.1368683772161603E-13</v>
      </c>
      <c r="I16" s="504"/>
    </row>
    <row r="17" spans="1:9" s="330" customFormat="1" ht="12.75" customHeight="1" x14ac:dyDescent="0.25">
      <c r="A17" s="499"/>
      <c r="B17" s="500"/>
      <c r="C17" s="501"/>
      <c r="D17" s="502"/>
      <c r="E17" s="502">
        <f t="shared" si="0"/>
        <v>7211.25</v>
      </c>
      <c r="F17" s="406"/>
      <c r="G17" s="503">
        <f t="shared" si="1"/>
        <v>7211.25</v>
      </c>
      <c r="H17" s="503">
        <f t="shared" si="2"/>
        <v>1.1368683772161603E-13</v>
      </c>
      <c r="I17" s="504"/>
    </row>
    <row r="18" spans="1:9" s="330" customFormat="1" ht="12.75" customHeight="1" x14ac:dyDescent="0.25">
      <c r="A18" s="499"/>
      <c r="B18" s="500"/>
      <c r="C18" s="501"/>
      <c r="D18" s="502"/>
      <c r="E18" s="502">
        <f t="shared" si="0"/>
        <v>7211.25</v>
      </c>
      <c r="F18" s="406"/>
      <c r="G18" s="503">
        <f t="shared" si="1"/>
        <v>7211.25</v>
      </c>
      <c r="H18" s="503">
        <f t="shared" si="2"/>
        <v>1.1368683772161603E-13</v>
      </c>
      <c r="I18" s="504"/>
    </row>
    <row r="19" spans="1:9" s="330" customFormat="1" ht="12.75" customHeight="1" x14ac:dyDescent="0.25">
      <c r="A19" s="499"/>
      <c r="B19" s="500"/>
      <c r="C19" s="501"/>
      <c r="D19" s="502"/>
      <c r="E19" s="502">
        <f t="shared" si="0"/>
        <v>7211.25</v>
      </c>
      <c r="F19" s="503"/>
      <c r="G19" s="503">
        <f t="shared" si="1"/>
        <v>7211.25</v>
      </c>
      <c r="H19" s="503">
        <f t="shared" si="2"/>
        <v>1.1368683772161603E-13</v>
      </c>
      <c r="I19" s="504"/>
    </row>
    <row r="20" spans="1:9" s="330" customFormat="1" ht="12.75" customHeight="1" x14ac:dyDescent="0.25">
      <c r="A20" s="499"/>
      <c r="B20" s="500"/>
      <c r="C20" s="501"/>
      <c r="D20" s="502"/>
      <c r="E20" s="502">
        <f t="shared" si="0"/>
        <v>7211.25</v>
      </c>
      <c r="F20" s="503"/>
      <c r="G20" s="503">
        <f t="shared" si="1"/>
        <v>7211.25</v>
      </c>
      <c r="H20" s="503">
        <f t="shared" si="2"/>
        <v>1.1368683772161603E-13</v>
      </c>
      <c r="I20" s="504"/>
    </row>
    <row r="21" spans="1:9" s="330" customFormat="1" ht="12.75" customHeight="1" x14ac:dyDescent="0.25">
      <c r="A21" s="499"/>
      <c r="B21" s="500"/>
      <c r="C21" s="514"/>
      <c r="D21" s="502"/>
      <c r="E21" s="502">
        <f t="shared" si="0"/>
        <v>7211.25</v>
      </c>
      <c r="F21" s="503"/>
      <c r="G21" s="503">
        <f t="shared" si="1"/>
        <v>7211.25</v>
      </c>
      <c r="H21" s="503">
        <f t="shared" si="2"/>
        <v>1.1368683772161603E-13</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7211.25</v>
      </c>
      <c r="E23" s="405"/>
      <c r="F23" s="405">
        <f>SUM(F9:F22)</f>
        <v>7211.25</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192</v>
      </c>
      <c r="D26" s="503">
        <f>7146.88-95.63</f>
        <v>7051.25</v>
      </c>
      <c r="E26" s="503"/>
      <c r="F26" s="503">
        <f>3641.15+3410.1</f>
        <v>7051.25</v>
      </c>
      <c r="G26" s="503"/>
      <c r="H26" s="503">
        <f>D26-F26</f>
        <v>0</v>
      </c>
      <c r="I26" s="504"/>
    </row>
    <row r="27" spans="1:9" s="330" customFormat="1" ht="12.75" customHeight="1" x14ac:dyDescent="0.25">
      <c r="A27" s="499"/>
      <c r="B27" s="501"/>
      <c r="C27" s="515" t="s">
        <v>118</v>
      </c>
      <c r="D27" s="503">
        <v>160</v>
      </c>
      <c r="E27" s="503"/>
      <c r="F27" s="503">
        <f>160</f>
        <v>160</v>
      </c>
      <c r="G27" s="503"/>
      <c r="H27" s="503">
        <f>D27-F27</f>
        <v>0</v>
      </c>
      <c r="I27" s="504"/>
    </row>
    <row r="28" spans="1:9" s="330" customFormat="1" ht="12.75" customHeight="1" thickBot="1" x14ac:dyDescent="0.3">
      <c r="A28" s="499"/>
      <c r="B28" s="501"/>
      <c r="C28" s="518" t="s">
        <v>555</v>
      </c>
      <c r="D28" s="405">
        <f>SUM(D24:D27)</f>
        <v>7211.25</v>
      </c>
      <c r="E28" s="519"/>
      <c r="F28" s="405">
        <f>SUM(F24:F27)</f>
        <v>7211.25</v>
      </c>
      <c r="G28" s="519"/>
      <c r="H28" s="405">
        <f>SUM(H24:H27)</f>
        <v>0</v>
      </c>
      <c r="I28" s="50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186">
    <tabColor rgb="FF0070C0"/>
    <pageSetUpPr fitToPage="1"/>
  </sheetPr>
  <dimension ref="A1:J107"/>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5.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#9480.00'!B1</f>
        <v>HHS STS Canteen Roof Repair Design (29C20)</v>
      </c>
      <c r="B1" s="109"/>
      <c r="C1" s="109"/>
      <c r="D1" s="179"/>
      <c r="E1" s="179"/>
      <c r="F1" s="179"/>
      <c r="G1" s="180"/>
      <c r="H1" s="180"/>
      <c r="I1" s="181"/>
      <c r="J1" s="181"/>
    </row>
    <row r="2" spans="1:10" ht="15.75" x14ac:dyDescent="0.25">
      <c r="A2" s="126" t="str">
        <f>'RECAP #9480.00'!B2</f>
        <v>Project # 9480.00</v>
      </c>
      <c r="B2" s="182"/>
      <c r="C2" s="182"/>
      <c r="D2" s="179"/>
      <c r="E2" s="179"/>
      <c r="F2" s="179"/>
      <c r="G2" s="180"/>
      <c r="H2" s="180"/>
      <c r="I2" s="181"/>
      <c r="J2" s="181"/>
    </row>
    <row r="3" spans="1:10" ht="15.75" x14ac:dyDescent="0.25">
      <c r="A3" s="183" t="str">
        <f>'RECAP #9480.00'!B3</f>
        <v>Program code 948000</v>
      </c>
      <c r="B3" s="182"/>
      <c r="C3" s="182"/>
      <c r="D3" s="179"/>
      <c r="E3" s="184" t="str">
        <f>'RECAP #9480.00'!E3</f>
        <v>Major Program 3D02</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#9480.00'!B6</f>
        <v>Project Manager - Jennifer K.</v>
      </c>
      <c r="B6" s="126"/>
      <c r="C6" s="126"/>
      <c r="D6" s="188"/>
      <c r="E6" s="132" t="s">
        <v>886</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30" customFormat="1" ht="12.75" customHeight="1" x14ac:dyDescent="0.25">
      <c r="A9" s="563"/>
      <c r="B9" s="500"/>
      <c r="C9" s="500"/>
      <c r="D9" s="515" t="s">
        <v>92</v>
      </c>
      <c r="E9" s="404">
        <f>4000+1482.75</f>
        <v>5482.75</v>
      </c>
      <c r="F9" s="502">
        <f>E9</f>
        <v>5482.75</v>
      </c>
      <c r="G9" s="503"/>
      <c r="H9" s="503"/>
      <c r="I9" s="503">
        <f>F9</f>
        <v>5482.75</v>
      </c>
      <c r="J9" s="504"/>
    </row>
    <row r="10" spans="1:10" s="330" customFormat="1" ht="12.75" customHeight="1" x14ac:dyDescent="0.25">
      <c r="A10" s="564" t="s">
        <v>942</v>
      </c>
      <c r="B10" s="500">
        <v>45848</v>
      </c>
      <c r="C10" s="565">
        <v>2507</v>
      </c>
      <c r="D10" s="352" t="s">
        <v>943</v>
      </c>
      <c r="E10" s="502"/>
      <c r="F10" s="502">
        <f t="shared" ref="F10:F21" si="0">F9+E10</f>
        <v>5482.75</v>
      </c>
      <c r="G10" s="406">
        <f>50.8+58.9</f>
        <v>109.69999999999999</v>
      </c>
      <c r="H10" s="503">
        <f t="shared" ref="H10:H21" si="1">H9+G10</f>
        <v>109.69999999999999</v>
      </c>
      <c r="I10" s="503">
        <f t="shared" ref="I10:I21" si="2">I9-G10+E10</f>
        <v>5373.05</v>
      </c>
      <c r="J10" s="504"/>
    </row>
    <row r="11" spans="1:10" s="330" customFormat="1" ht="12.75" customHeight="1" x14ac:dyDescent="0.25">
      <c r="A11" s="564" t="s">
        <v>942</v>
      </c>
      <c r="B11" s="500">
        <v>45848</v>
      </c>
      <c r="C11" s="565">
        <v>9500</v>
      </c>
      <c r="D11" s="352" t="s">
        <v>944</v>
      </c>
      <c r="E11" s="502"/>
      <c r="F11" s="502">
        <f t="shared" si="0"/>
        <v>5482.75</v>
      </c>
      <c r="G11" s="406">
        <f>75.5+779.9</f>
        <v>855.4</v>
      </c>
      <c r="H11" s="503">
        <f t="shared" si="1"/>
        <v>965.09999999999991</v>
      </c>
      <c r="I11" s="503">
        <f t="shared" si="2"/>
        <v>4517.6500000000005</v>
      </c>
      <c r="J11" s="504"/>
    </row>
    <row r="12" spans="1:10" s="330" customFormat="1" ht="12.75" customHeight="1" x14ac:dyDescent="0.25">
      <c r="A12" s="564" t="s">
        <v>1009</v>
      </c>
      <c r="B12" s="500">
        <v>45876</v>
      </c>
      <c r="C12" s="565">
        <v>2507</v>
      </c>
      <c r="D12" s="352" t="s">
        <v>1010</v>
      </c>
      <c r="E12" s="502"/>
      <c r="F12" s="502">
        <f t="shared" si="0"/>
        <v>5482.75</v>
      </c>
      <c r="G12" s="406">
        <f>89.02+128.55</f>
        <v>217.57</v>
      </c>
      <c r="H12" s="503">
        <f t="shared" si="1"/>
        <v>1182.6699999999998</v>
      </c>
      <c r="I12" s="503">
        <f t="shared" si="2"/>
        <v>4300.0800000000008</v>
      </c>
      <c r="J12" s="504"/>
    </row>
    <row r="13" spans="1:10" s="330" customFormat="1" ht="12.75" customHeight="1" x14ac:dyDescent="0.25">
      <c r="A13" s="564" t="s">
        <v>1009</v>
      </c>
      <c r="B13" s="500">
        <v>45876</v>
      </c>
      <c r="C13" s="565">
        <v>9500</v>
      </c>
      <c r="D13" s="352" t="s">
        <v>1011</v>
      </c>
      <c r="E13" s="502"/>
      <c r="F13" s="502">
        <f t="shared" si="0"/>
        <v>5482.75</v>
      </c>
      <c r="G13" s="406">
        <f>152+2231.9</f>
        <v>2383.9</v>
      </c>
      <c r="H13" s="503">
        <f t="shared" si="1"/>
        <v>3566.5699999999997</v>
      </c>
      <c r="I13" s="503">
        <f t="shared" si="2"/>
        <v>1916.1800000000007</v>
      </c>
      <c r="J13" s="504"/>
    </row>
    <row r="14" spans="1:10" s="330" customFormat="1" ht="12.75" customHeight="1" x14ac:dyDescent="0.25">
      <c r="A14" s="564" t="s">
        <v>1177</v>
      </c>
      <c r="B14" s="500">
        <v>45908</v>
      </c>
      <c r="C14" s="565">
        <v>2507</v>
      </c>
      <c r="D14" s="352" t="s">
        <v>1182</v>
      </c>
      <c r="E14" s="502"/>
      <c r="F14" s="502">
        <f t="shared" si="0"/>
        <v>5482.75</v>
      </c>
      <c r="G14" s="406">
        <v>376.36</v>
      </c>
      <c r="H14" s="503">
        <f t="shared" si="1"/>
        <v>3942.93</v>
      </c>
      <c r="I14" s="503">
        <f t="shared" si="2"/>
        <v>1539.8200000000006</v>
      </c>
      <c r="J14" s="504"/>
    </row>
    <row r="15" spans="1:10" s="330" customFormat="1" ht="12.75" customHeight="1" x14ac:dyDescent="0.25">
      <c r="A15" s="564" t="s">
        <v>1177</v>
      </c>
      <c r="B15" s="500">
        <v>45908</v>
      </c>
      <c r="C15" s="565">
        <v>9500</v>
      </c>
      <c r="D15" s="352" t="s">
        <v>1181</v>
      </c>
      <c r="E15" s="502"/>
      <c r="F15" s="502">
        <f t="shared" si="0"/>
        <v>5482.75</v>
      </c>
      <c r="G15" s="406">
        <v>2895.8</v>
      </c>
      <c r="H15" s="503">
        <f t="shared" si="1"/>
        <v>6838.73</v>
      </c>
      <c r="I15" s="541">
        <f t="shared" si="2"/>
        <v>-1355.9799999999996</v>
      </c>
      <c r="J15" s="504"/>
    </row>
    <row r="16" spans="1:10" s="330" customFormat="1" ht="12.75" customHeight="1" x14ac:dyDescent="0.25">
      <c r="A16" s="352" t="s">
        <v>1189</v>
      </c>
      <c r="B16" s="500">
        <v>45918</v>
      </c>
      <c r="C16" s="565">
        <v>9500</v>
      </c>
      <c r="D16" s="515" t="s">
        <v>1188</v>
      </c>
      <c r="E16" s="502"/>
      <c r="F16" s="502">
        <f t="shared" si="0"/>
        <v>5482.75</v>
      </c>
      <c r="G16" s="525">
        <v>-1355.98</v>
      </c>
      <c r="H16" s="503">
        <f t="shared" si="1"/>
        <v>5482.75</v>
      </c>
      <c r="I16" s="503">
        <f t="shared" si="2"/>
        <v>4.5474735088646412E-13</v>
      </c>
      <c r="J16" s="504"/>
    </row>
    <row r="17" spans="1:10" s="330" customFormat="1" ht="12.75" customHeight="1" x14ac:dyDescent="0.25">
      <c r="A17" s="352"/>
      <c r="B17" s="500"/>
      <c r="C17" s="500"/>
      <c r="D17" s="515"/>
      <c r="E17" s="502"/>
      <c r="F17" s="502">
        <f t="shared" si="0"/>
        <v>5482.75</v>
      </c>
      <c r="G17" s="406"/>
      <c r="H17" s="503">
        <f t="shared" si="1"/>
        <v>5482.75</v>
      </c>
      <c r="I17" s="503">
        <f t="shared" si="2"/>
        <v>4.5474735088646412E-13</v>
      </c>
      <c r="J17" s="504"/>
    </row>
    <row r="18" spans="1:10" s="330" customFormat="1" ht="12.75" customHeight="1" x14ac:dyDescent="0.25">
      <c r="A18" s="352"/>
      <c r="B18" s="500"/>
      <c r="C18" s="500"/>
      <c r="D18" s="515"/>
      <c r="E18" s="502"/>
      <c r="F18" s="502">
        <f t="shared" si="0"/>
        <v>5482.75</v>
      </c>
      <c r="G18" s="406"/>
      <c r="H18" s="503">
        <f t="shared" si="1"/>
        <v>5482.75</v>
      </c>
      <c r="I18" s="503">
        <f t="shared" si="2"/>
        <v>4.5474735088646412E-13</v>
      </c>
      <c r="J18" s="504"/>
    </row>
    <row r="19" spans="1:10" s="330" customFormat="1" ht="12.75" customHeight="1" x14ac:dyDescent="0.25">
      <c r="A19" s="352"/>
      <c r="B19" s="500"/>
      <c r="C19" s="500"/>
      <c r="D19" s="515"/>
      <c r="E19" s="502"/>
      <c r="F19" s="502">
        <f t="shared" si="0"/>
        <v>5482.75</v>
      </c>
      <c r="G19" s="503"/>
      <c r="H19" s="503">
        <f t="shared" si="1"/>
        <v>5482.75</v>
      </c>
      <c r="I19" s="503">
        <f t="shared" si="2"/>
        <v>4.5474735088646412E-13</v>
      </c>
      <c r="J19" s="504"/>
    </row>
    <row r="20" spans="1:10" s="330" customFormat="1" ht="12.75" customHeight="1" x14ac:dyDescent="0.25">
      <c r="A20" s="352"/>
      <c r="B20" s="500"/>
      <c r="C20" s="500"/>
      <c r="D20" s="515"/>
      <c r="E20" s="502"/>
      <c r="F20" s="502">
        <f t="shared" si="0"/>
        <v>5482.75</v>
      </c>
      <c r="G20" s="503"/>
      <c r="H20" s="503">
        <f t="shared" si="1"/>
        <v>5482.75</v>
      </c>
      <c r="I20" s="503">
        <f t="shared" si="2"/>
        <v>4.5474735088646412E-13</v>
      </c>
      <c r="J20" s="504"/>
    </row>
    <row r="21" spans="1:10" s="330" customFormat="1" ht="12.75" customHeight="1" x14ac:dyDescent="0.25">
      <c r="A21" s="352"/>
      <c r="B21" s="500"/>
      <c r="C21" s="500"/>
      <c r="D21" s="504"/>
      <c r="E21" s="502"/>
      <c r="F21" s="502">
        <f t="shared" si="0"/>
        <v>5482.75</v>
      </c>
      <c r="G21" s="503"/>
      <c r="H21" s="503">
        <f t="shared" si="1"/>
        <v>5482.75</v>
      </c>
      <c r="I21" s="503">
        <f t="shared" si="2"/>
        <v>4.5474735088646412E-13</v>
      </c>
      <c r="J21" s="504"/>
    </row>
    <row r="22" spans="1:10" s="330" customFormat="1" ht="12.75" customHeight="1" x14ac:dyDescent="0.25">
      <c r="A22" s="352"/>
      <c r="B22" s="501"/>
      <c r="C22" s="501"/>
      <c r="D22" s="515"/>
      <c r="E22" s="503"/>
      <c r="F22" s="503"/>
      <c r="G22" s="503"/>
      <c r="H22" s="503"/>
      <c r="I22" s="503"/>
      <c r="J22" s="504"/>
    </row>
    <row r="23" spans="1:10" s="330" customFormat="1" ht="12.75" customHeight="1" thickBot="1" x14ac:dyDescent="0.3">
      <c r="A23" s="352"/>
      <c r="B23" s="516"/>
      <c r="C23" s="516"/>
      <c r="D23" s="517" t="s">
        <v>54</v>
      </c>
      <c r="E23" s="405">
        <f>SUM(E9:E22)</f>
        <v>5482.75</v>
      </c>
      <c r="F23" s="405"/>
      <c r="G23" s="405">
        <f>SUM(G9:G22)</f>
        <v>5482.75</v>
      </c>
      <c r="H23" s="405"/>
      <c r="I23" s="405">
        <f>E23-G23</f>
        <v>0</v>
      </c>
      <c r="J23" s="50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187">
    <tabColor indexed="30"/>
    <pageSetUpPr fitToPage="1"/>
  </sheetPr>
  <dimension ref="A1:H34"/>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28515625" customWidth="1"/>
    <col min="6" max="6" width="28" bestFit="1" customWidth="1"/>
    <col min="7" max="7" width="12.42578125" customWidth="1"/>
    <col min="8" max="8" width="15.42578125" customWidth="1"/>
  </cols>
  <sheetData>
    <row r="1" spans="1:8" ht="15.75" x14ac:dyDescent="0.25">
      <c r="A1" s="109" t="str">
        <f>'RECAP #9480.00'!B1</f>
        <v>HHS STS Canteen Roof Repair Design (29C20)</v>
      </c>
      <c r="B1" s="109"/>
      <c r="C1" s="109"/>
      <c r="D1" s="109"/>
      <c r="E1" s="179"/>
      <c r="F1" s="179"/>
      <c r="G1" s="179"/>
      <c r="H1" s="180"/>
    </row>
    <row r="2" spans="1:8" ht="15.75" x14ac:dyDescent="0.25">
      <c r="A2" s="126" t="str">
        <f>'RECAP #9480.00'!B2</f>
        <v>Project # 9480.00</v>
      </c>
      <c r="B2" s="182"/>
      <c r="C2" s="182"/>
      <c r="D2" s="182"/>
      <c r="E2" s="179"/>
      <c r="F2" s="179"/>
      <c r="G2" s="179"/>
      <c r="H2" s="180"/>
    </row>
    <row r="3" spans="1:8" ht="15.75" x14ac:dyDescent="0.25">
      <c r="A3" s="183" t="str">
        <f>'RECAP #9480.00'!B3</f>
        <v>Program code 948000</v>
      </c>
      <c r="B3" s="182"/>
      <c r="C3" s="182"/>
      <c r="D3" s="182"/>
      <c r="E3" s="184" t="str">
        <f>'RECAP #9480.00'!E3</f>
        <v>Major Program 3D02</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#9480.00'!B6</f>
        <v>Project Manager - Jennifer K.</v>
      </c>
      <c r="B6" s="126"/>
      <c r="C6" s="126"/>
      <c r="D6" s="126"/>
      <c r="E6" s="184" t="s">
        <v>468</v>
      </c>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s="330" customFormat="1" ht="12.75" customHeight="1" x14ac:dyDescent="0.25">
      <c r="A9" s="504" t="s">
        <v>1109</v>
      </c>
      <c r="B9" s="567">
        <v>45910</v>
      </c>
      <c r="C9" s="568" t="s">
        <v>321</v>
      </c>
      <c r="D9" s="514" t="s">
        <v>322</v>
      </c>
      <c r="E9" s="499" t="s">
        <v>1104</v>
      </c>
      <c r="F9" s="569" t="s">
        <v>1105</v>
      </c>
      <c r="G9" s="525">
        <v>242</v>
      </c>
      <c r="H9" s="541">
        <f>G9</f>
        <v>242</v>
      </c>
    </row>
    <row r="10" spans="1:8" s="330" customFormat="1" ht="12.75" customHeight="1" x14ac:dyDescent="0.25">
      <c r="A10" s="504" t="s">
        <v>1110</v>
      </c>
      <c r="B10" s="567">
        <v>45910</v>
      </c>
      <c r="C10" s="570">
        <v>9500</v>
      </c>
      <c r="D10" s="514" t="s">
        <v>322</v>
      </c>
      <c r="E10" s="504" t="s">
        <v>1104</v>
      </c>
      <c r="F10" s="571" t="s">
        <v>1106</v>
      </c>
      <c r="G10" s="525">
        <v>1314</v>
      </c>
      <c r="H10" s="541">
        <f>H9+G10</f>
        <v>1556</v>
      </c>
    </row>
    <row r="11" spans="1:8" s="330" customFormat="1" ht="12.75" customHeight="1" x14ac:dyDescent="0.25">
      <c r="A11" s="499"/>
      <c r="B11" s="567"/>
      <c r="C11" s="570"/>
      <c r="D11" s="514"/>
      <c r="E11" s="504"/>
      <c r="F11" s="571"/>
      <c r="G11" s="541"/>
      <c r="H11" s="541">
        <f t="shared" ref="H11:H20" si="0">H10+G11</f>
        <v>1556</v>
      </c>
    </row>
    <row r="12" spans="1:8" s="330" customFormat="1" ht="12.75" customHeight="1" x14ac:dyDescent="0.25">
      <c r="A12" s="499" t="s">
        <v>3</v>
      </c>
      <c r="B12" s="567" t="s">
        <v>3</v>
      </c>
      <c r="C12" s="570"/>
      <c r="D12" s="514"/>
      <c r="E12" s="504" t="s">
        <v>3</v>
      </c>
      <c r="F12" s="571"/>
      <c r="G12" s="541"/>
      <c r="H12" s="541">
        <f t="shared" si="0"/>
        <v>1556</v>
      </c>
    </row>
    <row r="13" spans="1:8" s="330" customFormat="1" ht="12.75" customHeight="1" x14ac:dyDescent="0.25">
      <c r="A13" s="499" t="s">
        <v>3</v>
      </c>
      <c r="B13" s="567" t="s">
        <v>3</v>
      </c>
      <c r="C13" s="570"/>
      <c r="D13" s="514"/>
      <c r="E13" s="504" t="s">
        <v>3</v>
      </c>
      <c r="F13" s="571"/>
      <c r="G13" s="541"/>
      <c r="H13" s="541">
        <f t="shared" si="0"/>
        <v>1556</v>
      </c>
    </row>
    <row r="14" spans="1:8" s="330" customFormat="1" ht="12.75" customHeight="1" x14ac:dyDescent="0.25">
      <c r="A14" s="499"/>
      <c r="B14" s="567"/>
      <c r="C14" s="570"/>
      <c r="D14" s="514"/>
      <c r="E14" s="504"/>
      <c r="F14" s="571"/>
      <c r="G14" s="541"/>
      <c r="H14" s="541">
        <f t="shared" si="0"/>
        <v>1556</v>
      </c>
    </row>
    <row r="15" spans="1:8" s="330" customFormat="1" ht="12.75" customHeight="1" x14ac:dyDescent="0.25">
      <c r="A15" s="499"/>
      <c r="B15" s="567"/>
      <c r="C15" s="570"/>
      <c r="D15" s="514"/>
      <c r="E15" s="533"/>
      <c r="F15" s="571"/>
      <c r="G15" s="541"/>
      <c r="H15" s="541">
        <f t="shared" si="0"/>
        <v>1556</v>
      </c>
    </row>
    <row r="16" spans="1:8" s="330" customFormat="1" ht="12.75" customHeight="1" x14ac:dyDescent="0.25">
      <c r="A16" s="499"/>
      <c r="B16" s="567"/>
      <c r="C16" s="570"/>
      <c r="D16" s="514"/>
      <c r="E16" s="504"/>
      <c r="F16" s="571"/>
      <c r="G16" s="541"/>
      <c r="H16" s="541">
        <f t="shared" si="0"/>
        <v>1556</v>
      </c>
    </row>
    <row r="17" spans="1:8" s="330" customFormat="1" ht="12.75" customHeight="1" x14ac:dyDescent="0.25">
      <c r="A17" s="499"/>
      <c r="B17" s="567"/>
      <c r="C17" s="570"/>
      <c r="D17" s="514"/>
      <c r="E17" s="504"/>
      <c r="F17" s="571"/>
      <c r="G17" s="541"/>
      <c r="H17" s="541">
        <f t="shared" si="0"/>
        <v>1556</v>
      </c>
    </row>
    <row r="18" spans="1:8" s="330" customFormat="1" ht="12.75" customHeight="1" x14ac:dyDescent="0.25">
      <c r="A18" s="499"/>
      <c r="B18" s="567"/>
      <c r="C18" s="570"/>
      <c r="D18" s="514"/>
      <c r="E18" s="504"/>
      <c r="F18" s="571"/>
      <c r="G18" s="541"/>
      <c r="H18" s="541">
        <f t="shared" si="0"/>
        <v>1556</v>
      </c>
    </row>
    <row r="19" spans="1:8" s="330" customFormat="1" ht="12.75" customHeight="1" x14ac:dyDescent="0.25">
      <c r="A19" s="499"/>
      <c r="B19" s="567"/>
      <c r="C19" s="570"/>
      <c r="D19" s="514"/>
      <c r="E19" s="504"/>
      <c r="F19" s="571"/>
      <c r="G19" s="541"/>
      <c r="H19" s="541">
        <f t="shared" si="0"/>
        <v>1556</v>
      </c>
    </row>
    <row r="20" spans="1:8" s="330" customFormat="1" ht="12.75" customHeight="1" x14ac:dyDescent="0.25">
      <c r="A20" s="499"/>
      <c r="B20" s="567"/>
      <c r="C20" s="570"/>
      <c r="D20" s="514"/>
      <c r="E20" s="504"/>
      <c r="F20" s="571"/>
      <c r="G20" s="541"/>
      <c r="H20" s="541">
        <f t="shared" si="0"/>
        <v>1556</v>
      </c>
    </row>
    <row r="21" spans="1:8" s="330" customFormat="1" ht="12.75" customHeight="1" x14ac:dyDescent="0.25">
      <c r="A21" s="499"/>
      <c r="B21" s="572"/>
      <c r="C21" s="570"/>
      <c r="D21" s="514"/>
      <c r="E21" s="504"/>
      <c r="F21" s="541"/>
      <c r="G21" s="504"/>
      <c r="H21" s="541"/>
    </row>
    <row r="22" spans="1:8" s="330" customFormat="1" ht="12.75" customHeight="1" thickBot="1" x14ac:dyDescent="0.3">
      <c r="A22" s="573"/>
      <c r="B22" s="574"/>
      <c r="C22" s="575"/>
      <c r="D22" s="518"/>
      <c r="E22" s="576" t="s">
        <v>54</v>
      </c>
      <c r="F22" s="577"/>
      <c r="G22" s="405">
        <f>SUM(G9:G21)</f>
        <v>1556</v>
      </c>
      <c r="H22" s="57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188">
    <tabColor rgb="FF0070C0"/>
    <pageSetUpPr fitToPage="1"/>
  </sheetPr>
  <dimension ref="A1:I30"/>
  <sheetViews>
    <sheetView tabSelected="1" topLeftCell="A6"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42578125" customWidth="1"/>
  </cols>
  <sheetData>
    <row r="1" spans="1:9" ht="15.75" x14ac:dyDescent="0.25">
      <c r="A1" s="109" t="str">
        <f>'RECAP #9480.00'!B1</f>
        <v>HHS STS Canteen Roof Repair Design (29C20)</v>
      </c>
      <c r="B1" s="109"/>
      <c r="C1" s="179"/>
      <c r="D1" s="179"/>
      <c r="E1" s="179"/>
      <c r="F1" s="180"/>
      <c r="G1" s="180"/>
      <c r="H1" s="181"/>
      <c r="I1" s="181"/>
    </row>
    <row r="2" spans="1:9" ht="15.75" x14ac:dyDescent="0.25">
      <c r="A2" s="126" t="str">
        <f>'RECAP #9480.00'!B2</f>
        <v>Project # 9480.00</v>
      </c>
      <c r="B2" s="182"/>
      <c r="C2" s="179"/>
      <c r="D2" s="179"/>
      <c r="E2" s="179"/>
      <c r="F2" s="180"/>
      <c r="G2" s="180"/>
      <c r="H2" s="181"/>
      <c r="I2" s="181"/>
    </row>
    <row r="3" spans="1:9" ht="15.75" x14ac:dyDescent="0.25">
      <c r="A3" s="183" t="str">
        <f>'RECAP #9480.00'!B3</f>
        <v>Program code 948000</v>
      </c>
      <c r="B3" s="182"/>
      <c r="C3" s="179"/>
      <c r="D3" s="184" t="str">
        <f>'RECAP #9480.00'!E3</f>
        <v>Major Program 3D02</v>
      </c>
      <c r="E3" s="179"/>
      <c r="F3" s="180"/>
      <c r="G3" s="180"/>
      <c r="H3" s="181"/>
      <c r="I3" s="181"/>
    </row>
    <row r="4" spans="1:9" ht="15.75" x14ac:dyDescent="0.25">
      <c r="A4" s="109" t="s">
        <v>900</v>
      </c>
      <c r="B4" s="126"/>
      <c r="C4" s="181"/>
      <c r="D4" s="185" t="s">
        <v>252</v>
      </c>
      <c r="E4" s="180"/>
      <c r="F4" s="180"/>
      <c r="G4" s="180"/>
      <c r="H4" s="181"/>
      <c r="I4" s="181"/>
    </row>
    <row r="5" spans="1:9" ht="15.75" x14ac:dyDescent="0.25">
      <c r="A5" s="186" t="s">
        <v>143</v>
      </c>
      <c r="B5" s="181"/>
      <c r="C5" s="187"/>
      <c r="D5" s="132" t="s">
        <v>901</v>
      </c>
      <c r="E5" s="137"/>
      <c r="F5" s="180"/>
      <c r="G5" s="180"/>
      <c r="H5" s="181"/>
      <c r="I5" s="181"/>
    </row>
    <row r="6" spans="1:9" ht="15.75" x14ac:dyDescent="0.25">
      <c r="A6" s="126" t="str">
        <f>'RECAP #9480.00'!B6</f>
        <v>Project Manager - Jennifer K.</v>
      </c>
      <c r="B6" s="126"/>
      <c r="C6" s="188"/>
      <c r="D6" s="189" t="s">
        <v>146</v>
      </c>
      <c r="E6" s="137"/>
      <c r="F6" s="138"/>
      <c r="G6" s="180"/>
      <c r="H6" s="181"/>
      <c r="I6" s="181"/>
    </row>
    <row r="7" spans="1:9" ht="15.75" x14ac:dyDescent="0.25">
      <c r="A7" s="181"/>
      <c r="B7" s="190"/>
      <c r="C7" s="190"/>
      <c r="D7" s="181" t="s">
        <v>1056</v>
      </c>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902</v>
      </c>
      <c r="B9" s="500">
        <v>45838</v>
      </c>
      <c r="C9" s="501" t="s">
        <v>107</v>
      </c>
      <c r="D9" s="404">
        <v>10750</v>
      </c>
      <c r="E9" s="502">
        <f>D9</f>
        <v>10750</v>
      </c>
      <c r="F9" s="503"/>
      <c r="G9" s="503"/>
      <c r="H9" s="503">
        <f>E9</f>
        <v>10750</v>
      </c>
      <c r="I9" s="504"/>
    </row>
    <row r="10" spans="1:9" s="330" customFormat="1" ht="12.75" customHeight="1" x14ac:dyDescent="0.25">
      <c r="A10" s="505" t="s">
        <v>914</v>
      </c>
      <c r="B10" s="506">
        <v>45841</v>
      </c>
      <c r="C10" s="507" t="s">
        <v>915</v>
      </c>
      <c r="D10" s="508"/>
      <c r="E10" s="508">
        <f t="shared" ref="E10:E21" si="0">E9+D10</f>
        <v>10750</v>
      </c>
      <c r="F10" s="509">
        <v>3010</v>
      </c>
      <c r="G10" s="510">
        <f t="shared" ref="G10:G21" si="1">G9+F10</f>
        <v>3010</v>
      </c>
      <c r="H10" s="510">
        <f t="shared" ref="H10:H21" si="2">H9-F10+D10</f>
        <v>7740</v>
      </c>
      <c r="I10" s="511" t="s">
        <v>1015</v>
      </c>
    </row>
    <row r="11" spans="1:9" s="330" customFormat="1" ht="12.75" customHeight="1" x14ac:dyDescent="0.25">
      <c r="A11" s="499" t="s">
        <v>1053</v>
      </c>
      <c r="B11" s="500">
        <v>45890</v>
      </c>
      <c r="C11" s="501" t="s">
        <v>1017</v>
      </c>
      <c r="D11" s="512">
        <v>0</v>
      </c>
      <c r="E11" s="502">
        <f t="shared" si="0"/>
        <v>10750</v>
      </c>
      <c r="F11" s="406"/>
      <c r="G11" s="503">
        <f t="shared" si="1"/>
        <v>3010</v>
      </c>
      <c r="H11" s="503">
        <f t="shared" si="2"/>
        <v>7740</v>
      </c>
      <c r="I11" s="504"/>
    </row>
    <row r="12" spans="1:9" s="330" customFormat="1" ht="12.75" customHeight="1" x14ac:dyDescent="0.25">
      <c r="A12" s="499" t="s">
        <v>1053</v>
      </c>
      <c r="B12" s="500">
        <v>45891</v>
      </c>
      <c r="C12" s="513" t="s">
        <v>1054</v>
      </c>
      <c r="D12" s="512">
        <v>0</v>
      </c>
      <c r="E12" s="502">
        <f t="shared" si="0"/>
        <v>10750</v>
      </c>
      <c r="F12" s="406"/>
      <c r="G12" s="503">
        <f t="shared" si="1"/>
        <v>3010</v>
      </c>
      <c r="H12" s="503">
        <f t="shared" si="2"/>
        <v>7740</v>
      </c>
      <c r="I12" s="504"/>
    </row>
    <row r="13" spans="1:9" s="330" customFormat="1" ht="12.75" customHeight="1" x14ac:dyDescent="0.25">
      <c r="A13" s="499" t="s">
        <v>1201</v>
      </c>
      <c r="B13" s="500">
        <v>45923</v>
      </c>
      <c r="C13" s="501" t="s">
        <v>1202</v>
      </c>
      <c r="D13" s="502"/>
      <c r="E13" s="502">
        <f t="shared" si="0"/>
        <v>10750</v>
      </c>
      <c r="F13" s="406">
        <v>7740</v>
      </c>
      <c r="G13" s="503">
        <f t="shared" si="1"/>
        <v>10750</v>
      </c>
      <c r="H13" s="503">
        <f t="shared" si="2"/>
        <v>0</v>
      </c>
      <c r="I13" s="504"/>
    </row>
    <row r="14" spans="1:9" s="330" customFormat="1" ht="12.75" customHeight="1" x14ac:dyDescent="0.25">
      <c r="A14" s="499"/>
      <c r="B14" s="500"/>
      <c r="C14" s="501"/>
      <c r="D14" s="502"/>
      <c r="E14" s="502">
        <f t="shared" si="0"/>
        <v>10750</v>
      </c>
      <c r="F14" s="503"/>
      <c r="G14" s="503">
        <f t="shared" si="1"/>
        <v>10750</v>
      </c>
      <c r="H14" s="503">
        <f t="shared" si="2"/>
        <v>0</v>
      </c>
      <c r="I14" s="504"/>
    </row>
    <row r="15" spans="1:9" s="330" customFormat="1" ht="12.75" customHeight="1" x14ac:dyDescent="0.25">
      <c r="A15" s="499"/>
      <c r="B15" s="500"/>
      <c r="C15" s="501"/>
      <c r="D15" s="502"/>
      <c r="E15" s="502">
        <f t="shared" si="0"/>
        <v>10750</v>
      </c>
      <c r="F15" s="406"/>
      <c r="G15" s="503">
        <f t="shared" si="1"/>
        <v>10750</v>
      </c>
      <c r="H15" s="503">
        <f t="shared" si="2"/>
        <v>0</v>
      </c>
      <c r="I15" s="504"/>
    </row>
    <row r="16" spans="1:9" s="330" customFormat="1" ht="12.75" customHeight="1" x14ac:dyDescent="0.25">
      <c r="A16" s="499"/>
      <c r="B16" s="500"/>
      <c r="C16" s="501"/>
      <c r="D16" s="502"/>
      <c r="E16" s="502">
        <f t="shared" si="0"/>
        <v>10750</v>
      </c>
      <c r="F16" s="406"/>
      <c r="G16" s="503">
        <f t="shared" si="1"/>
        <v>10750</v>
      </c>
      <c r="H16" s="503">
        <f t="shared" si="2"/>
        <v>0</v>
      </c>
      <c r="I16" s="504"/>
    </row>
    <row r="17" spans="1:9" s="330" customFormat="1" ht="12.75" customHeight="1" x14ac:dyDescent="0.25">
      <c r="A17" s="499"/>
      <c r="B17" s="500"/>
      <c r="C17" s="501"/>
      <c r="D17" s="502"/>
      <c r="E17" s="502">
        <f t="shared" si="0"/>
        <v>10750</v>
      </c>
      <c r="F17" s="406"/>
      <c r="G17" s="503">
        <f t="shared" si="1"/>
        <v>10750</v>
      </c>
      <c r="H17" s="503">
        <f t="shared" si="2"/>
        <v>0</v>
      </c>
      <c r="I17" s="504"/>
    </row>
    <row r="18" spans="1:9" s="330" customFormat="1" ht="12.75" customHeight="1" x14ac:dyDescent="0.25">
      <c r="A18" s="499"/>
      <c r="B18" s="500"/>
      <c r="C18" s="501"/>
      <c r="D18" s="502"/>
      <c r="E18" s="502">
        <f t="shared" si="0"/>
        <v>10750</v>
      </c>
      <c r="F18" s="406"/>
      <c r="G18" s="503">
        <f t="shared" si="1"/>
        <v>10750</v>
      </c>
      <c r="H18" s="503">
        <f t="shared" si="2"/>
        <v>0</v>
      </c>
      <c r="I18" s="504"/>
    </row>
    <row r="19" spans="1:9" s="330" customFormat="1" ht="12.75" customHeight="1" x14ac:dyDescent="0.25">
      <c r="A19" s="499"/>
      <c r="B19" s="500"/>
      <c r="C19" s="501"/>
      <c r="D19" s="502"/>
      <c r="E19" s="502">
        <f t="shared" si="0"/>
        <v>10750</v>
      </c>
      <c r="F19" s="503"/>
      <c r="G19" s="503">
        <f t="shared" si="1"/>
        <v>10750</v>
      </c>
      <c r="H19" s="503">
        <f t="shared" si="2"/>
        <v>0</v>
      </c>
      <c r="I19" s="504"/>
    </row>
    <row r="20" spans="1:9" s="330" customFormat="1" ht="12.75" customHeight="1" x14ac:dyDescent="0.25">
      <c r="A20" s="499"/>
      <c r="B20" s="500"/>
      <c r="C20" s="501"/>
      <c r="D20" s="502"/>
      <c r="E20" s="502">
        <f t="shared" si="0"/>
        <v>10750</v>
      </c>
      <c r="F20" s="503"/>
      <c r="G20" s="503">
        <f t="shared" si="1"/>
        <v>10750</v>
      </c>
      <c r="H20" s="503">
        <f t="shared" si="2"/>
        <v>0</v>
      </c>
      <c r="I20" s="504"/>
    </row>
    <row r="21" spans="1:9" s="330" customFormat="1" ht="12.75" customHeight="1" x14ac:dyDescent="0.25">
      <c r="A21" s="499"/>
      <c r="B21" s="500"/>
      <c r="C21" s="514"/>
      <c r="D21" s="502"/>
      <c r="E21" s="502">
        <f t="shared" si="0"/>
        <v>10750</v>
      </c>
      <c r="F21" s="503"/>
      <c r="G21" s="503">
        <f t="shared" si="1"/>
        <v>10750</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10750</v>
      </c>
      <c r="E23" s="405"/>
      <c r="F23" s="405">
        <f>SUM(F9:F22)</f>
        <v>10750</v>
      </c>
      <c r="G23" s="405"/>
      <c r="H23" s="405">
        <f>D23-F23</f>
        <v>0</v>
      </c>
      <c r="I23" s="504"/>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1055</v>
      </c>
      <c r="D26" s="503">
        <f>'[4]#9480.01 Genesis Architectural'!$D$23</f>
        <v>16700</v>
      </c>
      <c r="E26" s="503"/>
      <c r="F26" s="503">
        <f>'[4]#9480.01 Genesis Architectural'!$F$23</f>
        <v>13950</v>
      </c>
      <c r="G26" s="503"/>
      <c r="H26" s="503">
        <f>'[4]#9480.01 Genesis Architectural'!$H$23</f>
        <v>2750</v>
      </c>
      <c r="I26" s="504"/>
    </row>
    <row r="27" spans="1:9" s="330" customFormat="1" ht="12.75" customHeight="1" thickBot="1" x14ac:dyDescent="0.3">
      <c r="A27" s="499"/>
      <c r="B27" s="501"/>
      <c r="C27" s="518" t="s">
        <v>555</v>
      </c>
      <c r="D27" s="405">
        <f>SUM(D23:D26)</f>
        <v>27450</v>
      </c>
      <c r="E27" s="519"/>
      <c r="F27" s="405">
        <f>SUM(F23:F26)</f>
        <v>24700</v>
      </c>
      <c r="G27" s="519"/>
      <c r="H27" s="405">
        <f>SUM(H23:H26)</f>
        <v>2750</v>
      </c>
      <c r="I27" s="504"/>
    </row>
    <row r="28" spans="1:9" s="330" customFormat="1" ht="12.75" customHeight="1" thickTop="1" x14ac:dyDescent="0.25"/>
    <row r="29" spans="1:9" s="330" customFormat="1" ht="12.75" customHeight="1" x14ac:dyDescent="0.25"/>
    <row r="30" spans="1:9" s="330" customFormat="1" ht="12.75" customHeight="1" x14ac:dyDescent="0.25"/>
  </sheetData>
  <conditionalFormatting sqref="I9 I11:I27">
    <cfRule type="cellIs" dxfId="1"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pageSetUpPr fitToPage="1"/>
  </sheetPr>
  <dimension ref="A1:J40"/>
  <sheetViews>
    <sheetView tabSelected="1" topLeftCell="A4"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1.42578125" customWidth="1"/>
  </cols>
  <sheetData>
    <row r="1" spans="1:10" ht="15.75" x14ac:dyDescent="0.25">
      <c r="A1" s="78" t="str">
        <f>'RECAP #9239.03'!B1</f>
        <v>DOC-NCF-IPI Homes or Iowa Facility Project Fencing - Phase II</v>
      </c>
      <c r="B1" s="79"/>
      <c r="C1" s="79"/>
      <c r="D1" s="6"/>
      <c r="E1" s="6"/>
      <c r="F1" s="6"/>
      <c r="G1" s="124"/>
      <c r="H1" s="124"/>
      <c r="I1" s="125"/>
      <c r="J1" s="125"/>
    </row>
    <row r="2" spans="1:10" ht="15.75" x14ac:dyDescent="0.25">
      <c r="A2" s="81" t="str">
        <f>'RECAP #9239.03'!B2</f>
        <v>Project # 9239.03</v>
      </c>
      <c r="B2" s="80"/>
      <c r="C2" s="80"/>
      <c r="D2" s="6"/>
      <c r="E2" s="6"/>
      <c r="F2" s="6"/>
      <c r="G2" s="124"/>
      <c r="H2" s="124"/>
      <c r="I2" s="125"/>
      <c r="J2" s="125"/>
    </row>
    <row r="3" spans="1:10" ht="15.75" x14ac:dyDescent="0.25">
      <c r="A3" s="82" t="str">
        <f>'RECAP #9239.03'!B3</f>
        <v>Program code 923903</v>
      </c>
      <c r="B3" s="80"/>
      <c r="C3" s="80"/>
      <c r="D3" s="6"/>
      <c r="E3" s="83" t="str">
        <f>'RECAP #9239.03'!E3</f>
        <v>Major Program 4B01</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#9239.03'!B6</f>
        <v>Project Manager - Brad T</v>
      </c>
      <c r="B6" s="86"/>
      <c r="C6" s="86"/>
      <c r="D6" s="135"/>
      <c r="E6" s="132" t="s">
        <v>605</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c r="E9" s="411">
        <f>10000+10000</f>
        <v>20000</v>
      </c>
      <c r="F9" s="412">
        <f>E9</f>
        <v>20000</v>
      </c>
      <c r="G9" s="413"/>
      <c r="H9" s="413"/>
      <c r="I9" s="413">
        <f>F9</f>
        <v>20000</v>
      </c>
      <c r="J9" s="414"/>
    </row>
    <row r="10" spans="1:10" s="330" customFormat="1" ht="12.75" customHeight="1" x14ac:dyDescent="0.25">
      <c r="A10" s="456" t="s">
        <v>727</v>
      </c>
      <c r="B10" s="409">
        <v>45786</v>
      </c>
      <c r="C10" s="457">
        <v>2507</v>
      </c>
      <c r="D10" s="458" t="s">
        <v>729</v>
      </c>
      <c r="E10" s="412"/>
      <c r="F10" s="412">
        <f t="shared" ref="F10:F36" si="0">F9+E10</f>
        <v>20000</v>
      </c>
      <c r="G10" s="445">
        <f>31.75+42.77</f>
        <v>74.52000000000001</v>
      </c>
      <c r="H10" s="413">
        <f t="shared" ref="H10:H36" si="1">H9+G10</f>
        <v>74.52000000000001</v>
      </c>
      <c r="I10" s="413">
        <f t="shared" ref="I10:I36" si="2">I9-G10+E10</f>
        <v>19925.48</v>
      </c>
      <c r="J10" s="414"/>
    </row>
    <row r="11" spans="1:10" s="330" customFormat="1" ht="12.75" customHeight="1" x14ac:dyDescent="0.25">
      <c r="A11" s="456" t="s">
        <v>727</v>
      </c>
      <c r="B11" s="409">
        <v>45786</v>
      </c>
      <c r="C11" s="457">
        <v>9500</v>
      </c>
      <c r="D11" s="231" t="s">
        <v>730</v>
      </c>
      <c r="E11" s="412"/>
      <c r="F11" s="412">
        <f t="shared" si="0"/>
        <v>20000</v>
      </c>
      <c r="G11" s="445">
        <f>40+470.8</f>
        <v>510.8</v>
      </c>
      <c r="H11" s="413">
        <f t="shared" si="1"/>
        <v>585.32000000000005</v>
      </c>
      <c r="I11" s="413">
        <f t="shared" si="2"/>
        <v>19414.68</v>
      </c>
      <c r="J11" s="414"/>
    </row>
    <row r="12" spans="1:10" s="330" customFormat="1" ht="12.75" customHeight="1" x14ac:dyDescent="0.25">
      <c r="A12" s="456" t="s">
        <v>822</v>
      </c>
      <c r="B12" s="409">
        <v>45817</v>
      </c>
      <c r="C12" s="457">
        <v>2507</v>
      </c>
      <c r="D12" s="458" t="s">
        <v>823</v>
      </c>
      <c r="E12" s="412"/>
      <c r="F12" s="412">
        <f t="shared" si="0"/>
        <v>20000</v>
      </c>
      <c r="G12" s="445">
        <f>48.68+39.97</f>
        <v>88.65</v>
      </c>
      <c r="H12" s="413">
        <f t="shared" si="1"/>
        <v>673.97</v>
      </c>
      <c r="I12" s="413">
        <f t="shared" si="2"/>
        <v>19326.03</v>
      </c>
      <c r="J12" s="414"/>
    </row>
    <row r="13" spans="1:10" s="330" customFormat="1" ht="12.75" customHeight="1" x14ac:dyDescent="0.25">
      <c r="A13" s="456" t="s">
        <v>822</v>
      </c>
      <c r="B13" s="409">
        <v>45817</v>
      </c>
      <c r="C13" s="457">
        <v>9500</v>
      </c>
      <c r="D13" s="231" t="s">
        <v>824</v>
      </c>
      <c r="E13" s="412"/>
      <c r="F13" s="412">
        <f t="shared" si="0"/>
        <v>20000</v>
      </c>
      <c r="G13" s="445">
        <f>56.5+635.8</f>
        <v>692.3</v>
      </c>
      <c r="H13" s="413">
        <f t="shared" si="1"/>
        <v>1366.27</v>
      </c>
      <c r="I13" s="413">
        <f t="shared" si="2"/>
        <v>18633.73</v>
      </c>
      <c r="J13" s="414"/>
    </row>
    <row r="14" spans="1:10" s="330" customFormat="1" ht="12.75" customHeight="1" x14ac:dyDescent="0.25">
      <c r="A14" s="456" t="s">
        <v>942</v>
      </c>
      <c r="B14" s="409">
        <v>45848</v>
      </c>
      <c r="C14" s="457">
        <v>2507</v>
      </c>
      <c r="D14" s="458" t="s">
        <v>943</v>
      </c>
      <c r="E14" s="412"/>
      <c r="F14" s="412">
        <f t="shared" si="0"/>
        <v>20000</v>
      </c>
      <c r="G14" s="445">
        <f>33.86+39.27</f>
        <v>73.13</v>
      </c>
      <c r="H14" s="413">
        <f t="shared" si="1"/>
        <v>1439.4</v>
      </c>
      <c r="I14" s="413">
        <f t="shared" si="2"/>
        <v>18560.599999999999</v>
      </c>
      <c r="J14" s="414"/>
    </row>
    <row r="15" spans="1:10" s="330" customFormat="1" ht="12.75" customHeight="1" x14ac:dyDescent="0.25">
      <c r="A15" s="456" t="s">
        <v>942</v>
      </c>
      <c r="B15" s="409">
        <v>45848</v>
      </c>
      <c r="C15" s="457">
        <v>9500</v>
      </c>
      <c r="D15" s="231" t="s">
        <v>944</v>
      </c>
      <c r="E15" s="412"/>
      <c r="F15" s="412">
        <f t="shared" si="0"/>
        <v>20000</v>
      </c>
      <c r="G15" s="445">
        <f>50.5+519.2</f>
        <v>569.70000000000005</v>
      </c>
      <c r="H15" s="413">
        <f t="shared" si="1"/>
        <v>2009.1000000000001</v>
      </c>
      <c r="I15" s="413">
        <f t="shared" si="2"/>
        <v>17990.899999999998</v>
      </c>
      <c r="J15" s="414"/>
    </row>
    <row r="16" spans="1:10" s="330" customFormat="1" ht="12.75" customHeight="1" x14ac:dyDescent="0.25">
      <c r="A16" s="456" t="s">
        <v>1009</v>
      </c>
      <c r="B16" s="409">
        <v>45876</v>
      </c>
      <c r="C16" s="457">
        <v>2507</v>
      </c>
      <c r="D16" s="458" t="s">
        <v>1010</v>
      </c>
      <c r="E16" s="412"/>
      <c r="F16" s="412">
        <f t="shared" si="0"/>
        <v>20000</v>
      </c>
      <c r="G16" s="445">
        <f>16.91+23.72</f>
        <v>40.629999999999995</v>
      </c>
      <c r="H16" s="413">
        <f t="shared" si="1"/>
        <v>2049.73</v>
      </c>
      <c r="I16" s="413">
        <f t="shared" si="2"/>
        <v>17950.269999999997</v>
      </c>
      <c r="J16" s="414"/>
    </row>
    <row r="17" spans="1:10" s="330" customFormat="1" ht="12.75" customHeight="1" x14ac:dyDescent="0.25">
      <c r="A17" s="456" t="s">
        <v>1009</v>
      </c>
      <c r="B17" s="409">
        <v>45876</v>
      </c>
      <c r="C17" s="457">
        <v>9500</v>
      </c>
      <c r="D17" s="231" t="s">
        <v>1011</v>
      </c>
      <c r="E17" s="412"/>
      <c r="F17" s="412">
        <f t="shared" si="0"/>
        <v>20000</v>
      </c>
      <c r="G17" s="445">
        <f>29.5+420.2</f>
        <v>449.7</v>
      </c>
      <c r="H17" s="413">
        <f t="shared" si="1"/>
        <v>2499.4299999999998</v>
      </c>
      <c r="I17" s="413">
        <f t="shared" si="2"/>
        <v>17500.569999999996</v>
      </c>
      <c r="J17" s="414"/>
    </row>
    <row r="18" spans="1:10" s="330" customFormat="1" ht="12.75" customHeight="1" x14ac:dyDescent="0.25">
      <c r="A18" s="456" t="s">
        <v>1177</v>
      </c>
      <c r="B18" s="409">
        <v>45908</v>
      </c>
      <c r="C18" s="457">
        <v>2507</v>
      </c>
      <c r="D18" s="458" t="s">
        <v>1182</v>
      </c>
      <c r="E18" s="412"/>
      <c r="F18" s="412">
        <f t="shared" si="0"/>
        <v>20000</v>
      </c>
      <c r="G18" s="445">
        <v>55.6</v>
      </c>
      <c r="H18" s="413">
        <f t="shared" si="1"/>
        <v>2555.0299999999997</v>
      </c>
      <c r="I18" s="413">
        <f t="shared" si="2"/>
        <v>17444.969999999998</v>
      </c>
      <c r="J18" s="414"/>
    </row>
    <row r="19" spans="1:10" s="330" customFormat="1" ht="12.75" customHeight="1" x14ac:dyDescent="0.25">
      <c r="A19" s="456" t="s">
        <v>1177</v>
      </c>
      <c r="B19" s="409">
        <v>45908</v>
      </c>
      <c r="C19" s="457">
        <v>9500</v>
      </c>
      <c r="D19" s="231" t="s">
        <v>1181</v>
      </c>
      <c r="E19" s="412"/>
      <c r="F19" s="412">
        <f t="shared" si="0"/>
        <v>20000</v>
      </c>
      <c r="G19" s="445">
        <v>431.9</v>
      </c>
      <c r="H19" s="413">
        <f t="shared" si="1"/>
        <v>2986.93</v>
      </c>
      <c r="I19" s="413">
        <f t="shared" si="2"/>
        <v>17013.069999999996</v>
      </c>
      <c r="J19" s="414"/>
    </row>
    <row r="20" spans="1:10" s="330" customFormat="1" ht="12.75" customHeight="1" x14ac:dyDescent="0.25">
      <c r="A20" s="456" t="s">
        <v>1233</v>
      </c>
      <c r="B20" s="409">
        <v>45937</v>
      </c>
      <c r="C20" s="457" t="s">
        <v>1234</v>
      </c>
      <c r="D20" s="458" t="s">
        <v>1235</v>
      </c>
      <c r="E20" s="412"/>
      <c r="F20" s="412">
        <f t="shared" si="0"/>
        <v>20000</v>
      </c>
      <c r="G20" s="445">
        <v>109.26</v>
      </c>
      <c r="H20" s="413">
        <f t="shared" si="1"/>
        <v>3096.19</v>
      </c>
      <c r="I20" s="413">
        <f t="shared" si="2"/>
        <v>16903.809999999998</v>
      </c>
      <c r="J20" s="414"/>
    </row>
    <row r="21" spans="1:10" s="330" customFormat="1" ht="12.75" customHeight="1" x14ac:dyDescent="0.25">
      <c r="A21" s="456" t="s">
        <v>1233</v>
      </c>
      <c r="B21" s="409">
        <v>45937</v>
      </c>
      <c r="C21" s="457">
        <v>9500</v>
      </c>
      <c r="D21" s="231" t="s">
        <v>1236</v>
      </c>
      <c r="E21" s="412"/>
      <c r="F21" s="412">
        <f t="shared" si="0"/>
        <v>20000</v>
      </c>
      <c r="G21" s="445">
        <v>570.4</v>
      </c>
      <c r="H21" s="413">
        <f t="shared" si="1"/>
        <v>3666.59</v>
      </c>
      <c r="I21" s="413">
        <f t="shared" si="2"/>
        <v>16333.409999999998</v>
      </c>
      <c r="J21" s="414"/>
    </row>
    <row r="22" spans="1:10" s="330" customFormat="1" ht="12.75" customHeight="1" x14ac:dyDescent="0.25">
      <c r="A22" s="456" t="s">
        <v>1322</v>
      </c>
      <c r="B22" s="409">
        <v>45968</v>
      </c>
      <c r="C22" s="457" t="s">
        <v>1234</v>
      </c>
      <c r="D22" s="458" t="s">
        <v>1327</v>
      </c>
      <c r="E22" s="412"/>
      <c r="F22" s="412">
        <f t="shared" si="0"/>
        <v>20000</v>
      </c>
      <c r="G22" s="445">
        <v>92.66</v>
      </c>
      <c r="H22" s="413">
        <f t="shared" si="1"/>
        <v>3759.25</v>
      </c>
      <c r="I22" s="413">
        <f t="shared" si="2"/>
        <v>16240.749999999998</v>
      </c>
      <c r="J22" s="414"/>
    </row>
    <row r="23" spans="1:10" s="330" customFormat="1" ht="12.75" customHeight="1" x14ac:dyDescent="0.25">
      <c r="A23" s="456" t="s">
        <v>1322</v>
      </c>
      <c r="B23" s="409">
        <v>45968</v>
      </c>
      <c r="C23" s="457">
        <v>9500</v>
      </c>
      <c r="D23" s="231" t="s">
        <v>1326</v>
      </c>
      <c r="E23" s="412"/>
      <c r="F23" s="412">
        <f t="shared" si="0"/>
        <v>20000</v>
      </c>
      <c r="G23" s="445">
        <v>919.4</v>
      </c>
      <c r="H23" s="413">
        <f t="shared" si="1"/>
        <v>4678.6499999999996</v>
      </c>
      <c r="I23" s="413">
        <f t="shared" si="2"/>
        <v>15321.349999999999</v>
      </c>
      <c r="J23" s="414"/>
    </row>
    <row r="24" spans="1:10" s="330" customFormat="1" ht="12.75" customHeight="1" x14ac:dyDescent="0.2">
      <c r="A24" s="169" t="s">
        <v>1423</v>
      </c>
      <c r="B24" s="145">
        <v>45996</v>
      </c>
      <c r="C24" s="147" t="s">
        <v>1234</v>
      </c>
      <c r="D24" s="222" t="s">
        <v>1424</v>
      </c>
      <c r="E24" s="412"/>
      <c r="F24" s="412">
        <f t="shared" si="0"/>
        <v>20000</v>
      </c>
      <c r="G24" s="445">
        <v>72.16</v>
      </c>
      <c r="H24" s="413">
        <f t="shared" si="1"/>
        <v>4750.8099999999995</v>
      </c>
      <c r="I24" s="413">
        <f t="shared" si="2"/>
        <v>15249.189999999999</v>
      </c>
      <c r="J24" s="414"/>
    </row>
    <row r="25" spans="1:10" s="330" customFormat="1" ht="12.75" customHeight="1" x14ac:dyDescent="0.2">
      <c r="A25" s="169" t="s">
        <v>1423</v>
      </c>
      <c r="B25" s="145">
        <v>45996</v>
      </c>
      <c r="C25" s="346">
        <v>9500</v>
      </c>
      <c r="D25" s="119" t="s">
        <v>1425</v>
      </c>
      <c r="E25" s="412"/>
      <c r="F25" s="412">
        <f t="shared" si="0"/>
        <v>20000</v>
      </c>
      <c r="G25" s="445">
        <v>460.4</v>
      </c>
      <c r="H25" s="413">
        <f t="shared" si="1"/>
        <v>5211.2099999999991</v>
      </c>
      <c r="I25" s="413">
        <f t="shared" si="2"/>
        <v>14788.789999999999</v>
      </c>
      <c r="J25" s="414"/>
    </row>
    <row r="26" spans="1:10" s="330" customFormat="1" ht="12.75" customHeight="1" x14ac:dyDescent="0.2">
      <c r="A26" s="169" t="s">
        <v>1482</v>
      </c>
      <c r="B26" s="145">
        <v>46030</v>
      </c>
      <c r="C26" s="147" t="s">
        <v>1234</v>
      </c>
      <c r="D26" s="222" t="s">
        <v>1483</v>
      </c>
      <c r="E26" s="412"/>
      <c r="F26" s="412">
        <f t="shared" si="0"/>
        <v>20000</v>
      </c>
      <c r="G26" s="445">
        <v>48.53</v>
      </c>
      <c r="H26" s="413">
        <f t="shared" si="1"/>
        <v>5259.7399999999989</v>
      </c>
      <c r="I26" s="413">
        <f t="shared" si="2"/>
        <v>14740.259999999998</v>
      </c>
      <c r="J26" s="414"/>
    </row>
    <row r="27" spans="1:10" s="330" customFormat="1" ht="12.75" customHeight="1" x14ac:dyDescent="0.2">
      <c r="A27" s="169" t="s">
        <v>1482</v>
      </c>
      <c r="B27" s="145">
        <v>46030</v>
      </c>
      <c r="C27" s="346">
        <v>9500</v>
      </c>
      <c r="D27" s="119" t="s">
        <v>1484</v>
      </c>
      <c r="E27" s="412"/>
      <c r="F27" s="412">
        <f t="shared" si="0"/>
        <v>20000</v>
      </c>
      <c r="G27" s="445">
        <v>548.4</v>
      </c>
      <c r="H27" s="413">
        <f t="shared" si="1"/>
        <v>5808.1399999999985</v>
      </c>
      <c r="I27" s="413">
        <f t="shared" si="2"/>
        <v>14191.859999999999</v>
      </c>
      <c r="J27" s="414"/>
    </row>
    <row r="28" spans="1:10" s="330" customFormat="1" ht="12.75" customHeight="1" x14ac:dyDescent="0.2">
      <c r="A28" s="169" t="s">
        <v>1545</v>
      </c>
      <c r="B28" s="145">
        <v>46062</v>
      </c>
      <c r="C28" s="147" t="s">
        <v>1234</v>
      </c>
      <c r="D28" s="222" t="s">
        <v>1546</v>
      </c>
      <c r="E28" s="412"/>
      <c r="F28" s="412">
        <f t="shared" si="0"/>
        <v>20000</v>
      </c>
      <c r="G28" s="445">
        <v>52.6</v>
      </c>
      <c r="H28" s="413">
        <f t="shared" si="1"/>
        <v>5860.7399999999989</v>
      </c>
      <c r="I28" s="413">
        <f t="shared" si="2"/>
        <v>14139.259999999998</v>
      </c>
      <c r="J28" s="414"/>
    </row>
    <row r="29" spans="1:10" s="330" customFormat="1" ht="12.75" customHeight="1" x14ac:dyDescent="0.2">
      <c r="A29" s="169" t="s">
        <v>1545</v>
      </c>
      <c r="B29" s="145">
        <v>46062</v>
      </c>
      <c r="C29" s="346">
        <v>9500</v>
      </c>
      <c r="D29" s="119" t="s">
        <v>1547</v>
      </c>
      <c r="E29" s="412"/>
      <c r="F29" s="412">
        <f t="shared" si="0"/>
        <v>20000</v>
      </c>
      <c r="G29" s="445">
        <v>647.9</v>
      </c>
      <c r="H29" s="413">
        <f t="shared" si="1"/>
        <v>6508.6399999999985</v>
      </c>
      <c r="I29" s="413">
        <f t="shared" si="2"/>
        <v>13491.359999999999</v>
      </c>
      <c r="J29" s="414"/>
    </row>
    <row r="30" spans="1:10" s="330" customFormat="1" ht="12.75" customHeight="1" x14ac:dyDescent="0.2">
      <c r="A30" s="169" t="s">
        <v>1663</v>
      </c>
      <c r="B30" s="145">
        <v>46090</v>
      </c>
      <c r="C30" s="147" t="s">
        <v>1234</v>
      </c>
      <c r="D30" s="222" t="s">
        <v>1664</v>
      </c>
      <c r="E30" s="412"/>
      <c r="F30" s="412">
        <f t="shared" si="0"/>
        <v>20000</v>
      </c>
      <c r="G30" s="445">
        <v>59.6</v>
      </c>
      <c r="H30" s="413">
        <f t="shared" si="1"/>
        <v>6568.2399999999989</v>
      </c>
      <c r="I30" s="413">
        <f t="shared" si="2"/>
        <v>13431.759999999998</v>
      </c>
      <c r="J30" s="414"/>
    </row>
    <row r="31" spans="1:10" s="330" customFormat="1" ht="12.75" customHeight="1" x14ac:dyDescent="0.2">
      <c r="A31" s="169" t="s">
        <v>1663</v>
      </c>
      <c r="B31" s="145">
        <v>46090</v>
      </c>
      <c r="C31" s="346">
        <v>9500</v>
      </c>
      <c r="D31" s="119" t="s">
        <v>1665</v>
      </c>
      <c r="E31" s="412"/>
      <c r="F31" s="412">
        <f t="shared" si="0"/>
        <v>20000</v>
      </c>
      <c r="G31" s="445">
        <v>690</v>
      </c>
      <c r="H31" s="413">
        <f t="shared" si="1"/>
        <v>7258.2399999999989</v>
      </c>
      <c r="I31" s="413">
        <f t="shared" si="2"/>
        <v>12741.759999999998</v>
      </c>
      <c r="J31" s="414"/>
    </row>
    <row r="32" spans="1:10" s="330" customFormat="1" ht="12.75" customHeight="1" x14ac:dyDescent="0.2">
      <c r="A32" s="169" t="s">
        <v>1751</v>
      </c>
      <c r="B32" s="145">
        <v>46118</v>
      </c>
      <c r="C32" s="147" t="s">
        <v>1234</v>
      </c>
      <c r="D32" s="222" t="s">
        <v>1752</v>
      </c>
      <c r="E32" s="412"/>
      <c r="F32" s="412">
        <f t="shared" si="0"/>
        <v>20000</v>
      </c>
      <c r="G32" s="445">
        <v>98.12</v>
      </c>
      <c r="H32" s="413">
        <f t="shared" si="1"/>
        <v>7356.3599999999988</v>
      </c>
      <c r="I32" s="413">
        <f t="shared" si="2"/>
        <v>12643.639999999998</v>
      </c>
      <c r="J32" s="414"/>
    </row>
    <row r="33" spans="1:10" s="330" customFormat="1" ht="12.75" customHeight="1" x14ac:dyDescent="0.2">
      <c r="A33" s="169" t="s">
        <v>1751</v>
      </c>
      <c r="B33" s="145">
        <v>46118</v>
      </c>
      <c r="C33" s="346">
        <v>9500</v>
      </c>
      <c r="D33" s="119" t="s">
        <v>1753</v>
      </c>
      <c r="E33" s="412"/>
      <c r="F33" s="412">
        <f t="shared" si="0"/>
        <v>20000</v>
      </c>
      <c r="G33" s="445">
        <v>798.1</v>
      </c>
      <c r="H33" s="413">
        <f t="shared" si="1"/>
        <v>8154.4599999999991</v>
      </c>
      <c r="I33" s="413">
        <f t="shared" si="2"/>
        <v>11845.539999999997</v>
      </c>
      <c r="J33" s="414"/>
    </row>
    <row r="34" spans="1:10" s="330" customFormat="1" ht="12.75" customHeight="1" x14ac:dyDescent="0.2">
      <c r="A34" s="169"/>
      <c r="B34" s="145"/>
      <c r="C34" s="346"/>
      <c r="D34" s="119"/>
      <c r="E34" s="412"/>
      <c r="F34" s="412">
        <f t="shared" si="0"/>
        <v>20000</v>
      </c>
      <c r="G34" s="422"/>
      <c r="H34" s="413">
        <f t="shared" si="1"/>
        <v>8154.4599999999991</v>
      </c>
      <c r="I34" s="413">
        <f t="shared" si="2"/>
        <v>11845.539999999997</v>
      </c>
      <c r="J34" s="414"/>
    </row>
    <row r="35" spans="1:10" s="330" customFormat="1" ht="12.75" customHeight="1" x14ac:dyDescent="0.2">
      <c r="A35" s="169"/>
      <c r="B35" s="145"/>
      <c r="C35" s="346"/>
      <c r="D35" s="119"/>
      <c r="E35" s="412"/>
      <c r="F35" s="412">
        <f t="shared" si="0"/>
        <v>20000</v>
      </c>
      <c r="G35" s="422"/>
      <c r="H35" s="413">
        <f t="shared" si="1"/>
        <v>8154.4599999999991</v>
      </c>
      <c r="I35" s="413">
        <f t="shared" si="2"/>
        <v>11845.539999999997</v>
      </c>
      <c r="J35" s="414"/>
    </row>
    <row r="36" spans="1:10" s="330" customFormat="1" ht="12.75" customHeight="1" x14ac:dyDescent="0.25">
      <c r="A36" s="231"/>
      <c r="B36" s="409"/>
      <c r="C36" s="457"/>
      <c r="D36" s="459"/>
      <c r="E36" s="412"/>
      <c r="F36" s="412">
        <f t="shared" si="0"/>
        <v>20000</v>
      </c>
      <c r="G36" s="413"/>
      <c r="H36" s="413">
        <f t="shared" si="1"/>
        <v>8154.4599999999991</v>
      </c>
      <c r="I36" s="413">
        <f t="shared" si="2"/>
        <v>11845.539999999997</v>
      </c>
      <c r="J36" s="414"/>
    </row>
    <row r="37" spans="1:10" s="330" customFormat="1" ht="12.75" customHeight="1" x14ac:dyDescent="0.25">
      <c r="A37" s="231"/>
      <c r="B37" s="410"/>
      <c r="C37" s="457"/>
      <c r="D37" s="425"/>
      <c r="E37" s="413"/>
      <c r="F37" s="413"/>
      <c r="G37" s="413"/>
      <c r="H37" s="413"/>
      <c r="I37" s="413"/>
      <c r="J37" s="414"/>
    </row>
    <row r="38" spans="1:10" s="330" customFormat="1" ht="12.75" customHeight="1" thickBot="1" x14ac:dyDescent="0.3">
      <c r="A38" s="231"/>
      <c r="B38" s="449"/>
      <c r="C38" s="457"/>
      <c r="D38" s="450" t="s">
        <v>54</v>
      </c>
      <c r="E38" s="426">
        <f>SUM(E9:E37)</f>
        <v>20000</v>
      </c>
      <c r="F38" s="426"/>
      <c r="G38" s="426">
        <f>SUM(G9:G37)</f>
        <v>8154.4599999999991</v>
      </c>
      <c r="H38" s="426"/>
      <c r="I38" s="426">
        <f>E38-G38</f>
        <v>11845.54</v>
      </c>
      <c r="J38" s="414"/>
    </row>
    <row r="39" spans="1:10" s="330" customFormat="1" ht="12.75" customHeight="1" thickTop="1" x14ac:dyDescent="0.25"/>
    <row r="40" spans="1:10"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189">
    <tabColor rgb="FF0070C0"/>
    <pageSetUpPr fitToPage="1"/>
  </sheetPr>
  <dimension ref="A1:H27"/>
  <sheetViews>
    <sheetView tabSelected="1" zoomScaleNormal="100" workbookViewId="0">
      <selection activeCell="C38" sqref="C38"/>
    </sheetView>
  </sheetViews>
  <sheetFormatPr defaultRowHeight="15" customHeight="1" x14ac:dyDescent="0.25"/>
  <cols>
    <col min="1" max="1" width="35.5703125" customWidth="1"/>
    <col min="2" max="2" width="13.28515625" customWidth="1"/>
    <col min="3" max="3" width="12.42578125" bestFit="1" customWidth="1"/>
    <col min="4" max="4" width="48.7109375" customWidth="1"/>
    <col min="5" max="5" width="25.7109375" customWidth="1"/>
    <col min="6" max="6" width="10.42578125" bestFit="1" customWidth="1"/>
    <col min="7" max="7" width="14.28515625" customWidth="1"/>
    <col min="8" max="8" width="15" customWidth="1"/>
    <col min="9" max="11" width="9.140625" customWidth="1"/>
  </cols>
  <sheetData>
    <row r="1" spans="1:8" x14ac:dyDescent="0.25">
      <c r="A1" s="104" t="e">
        <f>#REF!</f>
        <v>#REF!</v>
      </c>
      <c r="B1" s="7"/>
      <c r="C1" s="2"/>
      <c r="D1" s="3"/>
      <c r="E1" s="3"/>
      <c r="F1" s="7"/>
      <c r="G1" s="7"/>
      <c r="H1" s="7"/>
    </row>
    <row r="2" spans="1:8" x14ac:dyDescent="0.25">
      <c r="A2" s="105" t="e">
        <f>#REF!</f>
        <v>#REF!</v>
      </c>
      <c r="B2" s="7"/>
      <c r="C2" s="106" t="s">
        <v>3</v>
      </c>
      <c r="D2" s="1"/>
      <c r="E2" s="1"/>
      <c r="F2" s="7"/>
      <c r="G2" s="7"/>
      <c r="H2" s="7"/>
    </row>
    <row r="3" spans="1:8" x14ac:dyDescent="0.25">
      <c r="A3" s="107" t="e">
        <f>#REF!</f>
        <v>#REF!</v>
      </c>
      <c r="B3" s="7"/>
      <c r="C3" s="106" t="s">
        <v>3</v>
      </c>
      <c r="D3" s="108" t="e">
        <f>#REF!</f>
        <v>#REF!</v>
      </c>
      <c r="E3" s="3"/>
      <c r="F3" s="7"/>
      <c r="G3" s="7"/>
      <c r="H3" s="7"/>
    </row>
    <row r="4" spans="1:8" ht="15.75" x14ac:dyDescent="0.25">
      <c r="A4" s="109" t="s">
        <v>221</v>
      </c>
      <c r="B4" s="110" t="s">
        <v>3</v>
      </c>
      <c r="C4" s="3"/>
      <c r="D4" s="3"/>
      <c r="E4" s="3"/>
      <c r="F4" s="7"/>
      <c r="G4" s="7"/>
      <c r="H4" s="7"/>
    </row>
    <row r="5" spans="1:8" x14ac:dyDescent="0.25">
      <c r="A5" s="100" t="s">
        <v>65</v>
      </c>
      <c r="B5" s="22"/>
      <c r="C5" s="111"/>
      <c r="D5" s="23"/>
      <c r="E5" s="7"/>
      <c r="F5" s="7"/>
      <c r="G5" s="7"/>
      <c r="H5" s="7"/>
    </row>
    <row r="6" spans="1:8" x14ac:dyDescent="0.25">
      <c r="A6" s="112" t="e">
        <f>#REF!</f>
        <v>#REF!</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ht="12.75" customHeight="1" x14ac:dyDescent="0.25">
      <c r="A9" s="230"/>
      <c r="B9" s="231"/>
      <c r="C9" s="232"/>
      <c r="D9" s="233" t="s">
        <v>230</v>
      </c>
      <c r="E9" s="233" t="s">
        <v>222</v>
      </c>
      <c r="F9" s="234">
        <v>45553</v>
      </c>
      <c r="G9" s="235">
        <v>18925.830000000002</v>
      </c>
      <c r="H9" s="235">
        <v>18925.830000000002</v>
      </c>
    </row>
    <row r="10" spans="1:8" ht="12.75" customHeight="1" x14ac:dyDescent="0.25">
      <c r="A10" s="230"/>
      <c r="B10" s="230"/>
      <c r="C10" s="236"/>
      <c r="D10" s="233" t="s">
        <v>224</v>
      </c>
      <c r="E10" s="230" t="s">
        <v>225</v>
      </c>
      <c r="F10" s="230">
        <v>45554</v>
      </c>
      <c r="G10" s="343">
        <v>-18925.830000000002</v>
      </c>
      <c r="H10" s="343">
        <v>-18925.830000000002</v>
      </c>
    </row>
    <row r="11" spans="1:8" ht="12.75" customHeight="1" x14ac:dyDescent="0.25">
      <c r="A11" s="237"/>
      <c r="B11" s="236"/>
      <c r="C11" s="238"/>
      <c r="D11" s="233" t="s">
        <v>229</v>
      </c>
      <c r="E11" s="230" t="s">
        <v>226</v>
      </c>
      <c r="F11" s="230">
        <v>45553</v>
      </c>
      <c r="G11" s="344">
        <v>115631.44</v>
      </c>
      <c r="H11" s="344">
        <v>115631.44</v>
      </c>
    </row>
    <row r="12" spans="1:8" ht="12.75" customHeight="1" x14ac:dyDescent="0.25">
      <c r="A12" s="237"/>
      <c r="B12" s="236"/>
      <c r="C12" s="239"/>
      <c r="D12" s="233" t="s">
        <v>228</v>
      </c>
      <c r="E12" s="230" t="s">
        <v>227</v>
      </c>
      <c r="F12" s="230">
        <v>45554</v>
      </c>
      <c r="G12" s="343">
        <v>-115631.44</v>
      </c>
      <c r="H12" s="343">
        <v>-115631.44</v>
      </c>
    </row>
    <row r="13" spans="1:8" ht="12.75" customHeight="1" x14ac:dyDescent="0.25">
      <c r="A13" s="240"/>
      <c r="B13" s="241"/>
      <c r="C13" s="239"/>
      <c r="D13" s="233" t="s">
        <v>231</v>
      </c>
      <c r="E13" s="230" t="s">
        <v>232</v>
      </c>
      <c r="F13" s="230">
        <v>45553</v>
      </c>
      <c r="G13" s="344">
        <v>3807589.71</v>
      </c>
      <c r="H13" s="344">
        <v>3807589.71</v>
      </c>
    </row>
    <row r="14" spans="1:8" ht="12.75" customHeight="1" x14ac:dyDescent="0.25">
      <c r="A14" s="237"/>
      <c r="B14" s="242"/>
      <c r="C14" s="239"/>
      <c r="D14" s="233" t="s">
        <v>233</v>
      </c>
      <c r="E14" s="230" t="s">
        <v>236</v>
      </c>
      <c r="F14" s="230">
        <v>45554</v>
      </c>
      <c r="G14" s="343">
        <v>-3807589.71</v>
      </c>
      <c r="H14" s="343">
        <v>-3807589.71</v>
      </c>
    </row>
    <row r="15" spans="1:8" ht="12.75" customHeight="1" x14ac:dyDescent="0.25">
      <c r="A15" s="237"/>
      <c r="B15" s="242"/>
      <c r="C15" s="243"/>
      <c r="D15" s="233" t="s">
        <v>234</v>
      </c>
      <c r="E15" s="241" t="s">
        <v>235</v>
      </c>
      <c r="F15" s="230">
        <v>45553</v>
      </c>
      <c r="G15" s="344">
        <v>124607.2</v>
      </c>
      <c r="H15" s="344">
        <v>124607.2</v>
      </c>
    </row>
    <row r="16" spans="1:8" ht="12.75" customHeight="1" x14ac:dyDescent="0.25">
      <c r="A16" s="237"/>
      <c r="B16" s="242"/>
      <c r="C16" s="243" t="s">
        <v>3</v>
      </c>
      <c r="D16" s="233" t="s">
        <v>228</v>
      </c>
      <c r="E16" s="230" t="s">
        <v>237</v>
      </c>
      <c r="F16" s="230">
        <v>45554</v>
      </c>
      <c r="G16" s="343">
        <v>-124607.2</v>
      </c>
      <c r="H16" s="343">
        <v>-124607.2</v>
      </c>
    </row>
    <row r="17" spans="1:8" ht="12.75" customHeight="1" x14ac:dyDescent="0.25">
      <c r="A17" s="237"/>
      <c r="B17" s="242"/>
      <c r="C17" s="243"/>
      <c r="D17" s="233" t="s">
        <v>238</v>
      </c>
      <c r="E17" s="230" t="s">
        <v>239</v>
      </c>
      <c r="F17" s="230">
        <v>45553</v>
      </c>
      <c r="G17" s="344">
        <v>97711.73</v>
      </c>
      <c r="H17" s="344">
        <v>97711.73</v>
      </c>
    </row>
    <row r="18" spans="1:8" ht="12.75" customHeight="1" x14ac:dyDescent="0.25">
      <c r="A18" s="237"/>
      <c r="B18" s="248"/>
      <c r="C18" s="243"/>
      <c r="D18" s="233" t="s">
        <v>233</v>
      </c>
      <c r="E18" s="230" t="s">
        <v>240</v>
      </c>
      <c r="F18" s="230">
        <v>45554</v>
      </c>
      <c r="G18" s="343">
        <v>-97711.73</v>
      </c>
      <c r="H18" s="343">
        <v>-97711.73</v>
      </c>
    </row>
    <row r="19" spans="1:8" ht="12.75" customHeight="1" x14ac:dyDescent="0.25">
      <c r="A19" s="237"/>
      <c r="B19" s="242"/>
      <c r="C19" s="243"/>
      <c r="D19" s="233" t="s">
        <v>241</v>
      </c>
      <c r="E19" s="230" t="s">
        <v>242</v>
      </c>
      <c r="F19" s="245">
        <v>45553</v>
      </c>
      <c r="G19" s="344">
        <v>127711.24</v>
      </c>
      <c r="H19" s="344">
        <v>127711.24</v>
      </c>
    </row>
    <row r="20" spans="1:8" ht="12.75" customHeight="1" x14ac:dyDescent="0.25">
      <c r="A20" s="237"/>
      <c r="B20" s="242"/>
      <c r="C20" s="243"/>
      <c r="D20" s="233" t="s">
        <v>228</v>
      </c>
      <c r="E20" s="230" t="s">
        <v>243</v>
      </c>
      <c r="F20" s="230">
        <v>45554</v>
      </c>
      <c r="G20" s="343">
        <v>-127711.24</v>
      </c>
      <c r="H20" s="343">
        <v>-127711.24</v>
      </c>
    </row>
    <row r="21" spans="1:8" ht="12.75" customHeight="1" x14ac:dyDescent="0.25">
      <c r="A21" s="237"/>
      <c r="B21" s="242"/>
      <c r="C21" s="243"/>
      <c r="D21" s="233" t="s">
        <v>244</v>
      </c>
      <c r="E21" s="230" t="s">
        <v>245</v>
      </c>
      <c r="F21" s="230">
        <v>45553</v>
      </c>
      <c r="G21" s="344">
        <v>996.43</v>
      </c>
      <c r="H21" s="344">
        <v>996.43</v>
      </c>
    </row>
    <row r="22" spans="1:8" ht="12.75" customHeight="1" x14ac:dyDescent="0.25">
      <c r="A22" s="237"/>
      <c r="B22" s="242"/>
      <c r="C22" s="243"/>
      <c r="D22" s="233" t="s">
        <v>246</v>
      </c>
      <c r="E22" s="230" t="s">
        <v>247</v>
      </c>
      <c r="F22" s="230">
        <v>45554</v>
      </c>
      <c r="G22" s="343">
        <v>-996.43</v>
      </c>
      <c r="H22" s="343">
        <v>-996.43</v>
      </c>
    </row>
    <row r="23" spans="1:8" ht="12.75" customHeight="1" x14ac:dyDescent="0.25">
      <c r="A23" s="237"/>
      <c r="B23" s="242"/>
      <c r="C23" s="243"/>
      <c r="D23" s="233"/>
      <c r="E23" s="230"/>
      <c r="F23" s="230"/>
      <c r="G23" s="344"/>
      <c r="H23" s="344"/>
    </row>
    <row r="24" spans="1:8" ht="12.75" customHeight="1" x14ac:dyDescent="0.25">
      <c r="A24" s="237"/>
      <c r="B24" s="242"/>
      <c r="C24" s="243"/>
      <c r="D24" s="233"/>
      <c r="E24" s="230"/>
      <c r="F24" s="230"/>
      <c r="G24" s="343"/>
      <c r="H24" s="343"/>
    </row>
    <row r="25" spans="1:8" x14ac:dyDescent="0.25">
      <c r="A25" s="19"/>
      <c r="B25" s="22"/>
      <c r="C25" s="111"/>
      <c r="D25" s="23"/>
      <c r="E25" s="12"/>
      <c r="F25" s="19"/>
      <c r="G25" s="24"/>
      <c r="H25" s="24"/>
    </row>
    <row r="26" spans="1:8" ht="15.75" thickBot="1" x14ac:dyDescent="0.3">
      <c r="A26" s="26"/>
      <c r="B26" s="27" t="s">
        <v>9</v>
      </c>
      <c r="C26" s="28">
        <f>SUM(C9:C25)</f>
        <v>0</v>
      </c>
      <c r="D26" s="29" t="s">
        <v>10</v>
      </c>
      <c r="E26" s="30"/>
      <c r="F26" s="31"/>
      <c r="G26" s="123">
        <f>SUM(G9:G25)</f>
        <v>0</v>
      </c>
      <c r="H26" s="123">
        <f>SUM(H9:H25)</f>
        <v>0</v>
      </c>
    </row>
    <row r="27" spans="1:8" ht="15" customHeight="1" thickTop="1" x14ac:dyDescent="0.25"/>
  </sheetData>
  <pageMargins left="0.25" right="0.25" top="0.85" bottom="0.75" header="0.08" footer="0.3"/>
  <pageSetup scale="5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90">
    <tabColor rgb="FF0070C0"/>
    <pageSetUpPr fitToPage="1"/>
  </sheetPr>
  <dimension ref="A1:G15"/>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77"/>
      <c r="B1" s="78" t="s">
        <v>392</v>
      </c>
      <c r="C1" s="79"/>
      <c r="D1" s="6"/>
      <c r="E1" s="6"/>
      <c r="F1" s="6"/>
      <c r="G1" s="6"/>
    </row>
    <row r="2" spans="1:7" ht="15.75" x14ac:dyDescent="0.25">
      <c r="A2" s="77"/>
      <c r="B2" s="81" t="s">
        <v>393</v>
      </c>
      <c r="C2" s="80"/>
      <c r="D2" s="6"/>
      <c r="E2" s="6"/>
      <c r="F2" s="6"/>
      <c r="G2" s="6"/>
    </row>
    <row r="3" spans="1:7" ht="15.75" x14ac:dyDescent="0.25">
      <c r="A3" s="77"/>
      <c r="B3" s="82" t="s">
        <v>394</v>
      </c>
      <c r="C3" s="80"/>
      <c r="D3" s="6"/>
      <c r="E3" s="83" t="s">
        <v>395</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396</v>
      </c>
      <c r="C6" s="87"/>
      <c r="D6" s="88" t="s">
        <v>3</v>
      </c>
      <c r="E6" s="6"/>
      <c r="F6" s="6"/>
      <c r="G6" s="6"/>
    </row>
    <row r="7" spans="1:7" ht="34.5" customHeight="1" thickBot="1" x14ac:dyDescent="0.3">
      <c r="A7" s="77"/>
      <c r="B7" s="89" t="s">
        <v>3</v>
      </c>
      <c r="C7" s="90" t="s">
        <v>0</v>
      </c>
      <c r="D7" s="91" t="s">
        <v>1</v>
      </c>
      <c r="E7" s="92" t="s">
        <v>2</v>
      </c>
      <c r="F7" s="93" t="s">
        <v>37</v>
      </c>
      <c r="G7" s="93" t="s">
        <v>38</v>
      </c>
    </row>
    <row r="8" spans="1:7" ht="28.35" customHeight="1" x14ac:dyDescent="0.25">
      <c r="A8" s="77"/>
      <c r="B8" s="80" t="s">
        <v>39</v>
      </c>
      <c r="C8" s="94"/>
      <c r="D8" s="95"/>
      <c r="E8" s="95"/>
      <c r="F8" s="95"/>
      <c r="G8" s="96"/>
    </row>
    <row r="9" spans="1:7" x14ac:dyDescent="0.25">
      <c r="A9" s="77"/>
      <c r="B9" s="80"/>
      <c r="C9" s="97"/>
      <c r="D9" s="98"/>
      <c r="E9" s="98"/>
      <c r="F9" s="98"/>
      <c r="G9" s="96"/>
    </row>
    <row r="10" spans="1:7" x14ac:dyDescent="0.25">
      <c r="A10" s="77"/>
      <c r="B10" s="80" t="s">
        <v>40</v>
      </c>
      <c r="C10" s="97"/>
      <c r="D10" s="95">
        <f>'#XXXX.XX Vendor A '!D23</f>
        <v>0</v>
      </c>
      <c r="E10" s="95">
        <f>'#XXXX.XX Vendor A '!F23</f>
        <v>0</v>
      </c>
      <c r="F10" s="95">
        <f>'#XXXX.XX Vendor A '!H23</f>
        <v>0</v>
      </c>
      <c r="G10" s="96"/>
    </row>
    <row r="11" spans="1:7" x14ac:dyDescent="0.25">
      <c r="A11" s="77"/>
      <c r="B11" s="80" t="s">
        <v>41</v>
      </c>
      <c r="C11" s="97"/>
      <c r="D11" s="95">
        <f>'#XXXX.XX PM TIME '!E23</f>
        <v>0</v>
      </c>
      <c r="E11" s="95">
        <f>'#XXXX.XX PM TIME '!G23</f>
        <v>0</v>
      </c>
      <c r="F11" s="95">
        <f>'#XXXX.XX PM TIME '!I23</f>
        <v>0</v>
      </c>
      <c r="G11" s="96"/>
    </row>
    <row r="12" spans="1:7" x14ac:dyDescent="0.25">
      <c r="A12" s="77"/>
      <c r="B12" s="80" t="s">
        <v>42</v>
      </c>
      <c r="C12" s="98"/>
      <c r="D12" s="99">
        <f>'#XXXX.XX Misc '!G22</f>
        <v>0</v>
      </c>
      <c r="E12" s="99">
        <f>'#XXXX.XX Misc '!G22</f>
        <v>0</v>
      </c>
      <c r="F12" s="95">
        <f>D12-E12</f>
        <v>0</v>
      </c>
      <c r="G12" s="96"/>
    </row>
    <row r="13" spans="1:7" ht="13.35" customHeight="1" x14ac:dyDescent="0.25">
      <c r="A13" s="77"/>
      <c r="B13" s="80"/>
      <c r="C13" s="98"/>
      <c r="D13" s="99"/>
      <c r="E13" s="99"/>
      <c r="F13" s="95"/>
      <c r="G13" s="96"/>
    </row>
    <row r="14" spans="1:7" ht="24" customHeight="1" thickBot="1" x14ac:dyDescent="0.3">
      <c r="A14" s="100"/>
      <c r="B14" s="101" t="s">
        <v>43</v>
      </c>
      <c r="C14" s="102">
        <f>SUM(C8:C13)</f>
        <v>0</v>
      </c>
      <c r="D14" s="102">
        <f>SUM(D8:D13)</f>
        <v>0</v>
      </c>
      <c r="E14" s="102">
        <f>SUM(E8:E13)</f>
        <v>0</v>
      </c>
      <c r="F14" s="102">
        <f>SUM(D14-E14)</f>
        <v>0</v>
      </c>
      <c r="G14" s="102">
        <f>C14-D14</f>
        <v>0</v>
      </c>
    </row>
    <row r="15" spans="1:7" ht="15" customHeight="1" thickTop="1" x14ac:dyDescent="0.25"/>
  </sheetData>
  <pageMargins left="0.25" right="0.25" top="1.0661458333333333" bottom="0.75" header="0.08" footer="0.3"/>
  <pageSetup scale="89" orientation="portrait" r:id="rId1"/>
  <headerFooter alignWithMargins="0">
    <oddHeader>&amp;CDepartment of Administrative Services
MOU Project Improvements DA25
&amp;A
&amp;D</oddHeader>
    <oddFooter xml:space="preserve">&amp;LAcct Code:  0506-335-DA25&amp;C&amp;Z&amp;F
</oddFooter>
  </headerFooter>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191">
    <tabColor indexed="30"/>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04" t="str">
        <f>'RECAP #XXXX.XX'!B1</f>
        <v>Project Name</v>
      </c>
      <c r="B1" s="7"/>
      <c r="C1" s="2"/>
      <c r="D1" s="3"/>
      <c r="E1" s="3"/>
      <c r="F1" s="7"/>
      <c r="G1" s="7"/>
      <c r="H1" s="7"/>
    </row>
    <row r="2" spans="1:8" x14ac:dyDescent="0.25">
      <c r="A2" s="105" t="str">
        <f>'RECAP #XXXX.XX'!B2</f>
        <v>Project # XXXX.XX</v>
      </c>
      <c r="B2" s="7"/>
      <c r="C2" s="106" t="s">
        <v>3</v>
      </c>
      <c r="D2" s="1"/>
      <c r="E2" s="1"/>
      <c r="F2" s="7"/>
      <c r="G2" s="7"/>
      <c r="H2" s="7"/>
    </row>
    <row r="3" spans="1:8" x14ac:dyDescent="0.25">
      <c r="A3" s="107" t="str">
        <f>'RECAP #XXXX.XX'!B3</f>
        <v>Program code XXXXXX</v>
      </c>
      <c r="B3" s="7"/>
      <c r="C3" s="106" t="s">
        <v>3</v>
      </c>
      <c r="D3" s="108" t="str">
        <f>'RECAP #XXXX.XX'!E3</f>
        <v xml:space="preserve">Major Program </v>
      </c>
      <c r="E3" s="3"/>
      <c r="F3" s="7"/>
      <c r="G3" s="7"/>
      <c r="H3" s="7"/>
    </row>
    <row r="4" spans="1:8" ht="15.75" x14ac:dyDescent="0.25">
      <c r="A4" s="109" t="s">
        <v>44</v>
      </c>
      <c r="B4" s="110" t="s">
        <v>3</v>
      </c>
      <c r="C4" s="3"/>
      <c r="D4" s="3"/>
      <c r="E4" s="3"/>
      <c r="F4" s="7"/>
      <c r="G4" s="7"/>
      <c r="H4" s="7"/>
    </row>
    <row r="5" spans="1:8" x14ac:dyDescent="0.25">
      <c r="A5" s="100" t="s">
        <v>65</v>
      </c>
      <c r="B5" s="22"/>
      <c r="C5" s="111"/>
      <c r="D5" s="23"/>
      <c r="E5" s="7"/>
      <c r="F5" s="7"/>
      <c r="G5" s="7"/>
      <c r="H5" s="7"/>
    </row>
    <row r="6" spans="1:8" x14ac:dyDescent="0.25">
      <c r="A6" s="112" t="str">
        <f>'RECAP #XXXX.XX'!B6</f>
        <v xml:space="preserve">Project Manager - </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x14ac:dyDescent="0.25">
      <c r="A9" s="12"/>
      <c r="B9" s="119"/>
      <c r="C9" s="14"/>
      <c r="D9" s="15"/>
      <c r="E9" s="15"/>
      <c r="F9" s="120"/>
      <c r="G9" s="223"/>
      <c r="H9" s="216"/>
    </row>
    <row r="10" spans="1:8" ht="12.75" customHeight="1" x14ac:dyDescent="0.25">
      <c r="A10" s="12"/>
      <c r="B10" s="12"/>
      <c r="C10" s="13"/>
      <c r="D10" s="15"/>
      <c r="E10" s="12"/>
      <c r="F10" s="12"/>
      <c r="G10" s="215"/>
      <c r="H10" s="215"/>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0</v>
      </c>
      <c r="H24" s="123">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92">
    <tabColor indexed="30"/>
    <pageSetUpPr fitToPage="1"/>
  </sheetPr>
  <dimension ref="A1:I19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#XXXX.XX'!B1</f>
        <v>Project Name</v>
      </c>
      <c r="B1" s="79"/>
      <c r="C1" s="6"/>
      <c r="D1" s="6"/>
      <c r="E1" s="6"/>
      <c r="F1" s="124"/>
      <c r="G1" s="124"/>
      <c r="H1" s="125"/>
      <c r="I1" s="125"/>
    </row>
    <row r="2" spans="1:9" ht="15.75" x14ac:dyDescent="0.25">
      <c r="A2" s="81" t="str">
        <f>'RECAP #XXXX.XX'!B2</f>
        <v>Project # XXXX.XX</v>
      </c>
      <c r="B2" s="80"/>
      <c r="C2" s="6"/>
      <c r="D2" s="6"/>
      <c r="E2" s="6"/>
      <c r="F2" s="124"/>
      <c r="G2" s="124"/>
      <c r="H2" s="125"/>
      <c r="I2" s="125"/>
    </row>
    <row r="3" spans="1:9" ht="15.75" x14ac:dyDescent="0.25">
      <c r="A3" s="82" t="str">
        <f>'RECAP #XXXX.XX'!B3</f>
        <v>Program code XXXXXX</v>
      </c>
      <c r="B3" s="80"/>
      <c r="C3" s="6"/>
      <c r="D3" s="83" t="str">
        <f>'RECAP #XXXX.XX'!E3</f>
        <v xml:space="preserve">Major Program </v>
      </c>
      <c r="E3" s="6"/>
      <c r="F3" s="124"/>
      <c r="G3" s="124"/>
      <c r="H3" s="125"/>
      <c r="I3" s="125"/>
    </row>
    <row r="4" spans="1:9" ht="15.75" x14ac:dyDescent="0.25">
      <c r="A4" s="109" t="s">
        <v>13</v>
      </c>
      <c r="B4" s="126"/>
      <c r="C4" s="127"/>
      <c r="D4" s="128" t="s">
        <v>47</v>
      </c>
      <c r="E4" s="124"/>
      <c r="F4" s="124"/>
      <c r="G4" s="124"/>
      <c r="H4" s="125"/>
      <c r="I4" s="125"/>
    </row>
    <row r="5" spans="1:9" ht="15.75" x14ac:dyDescent="0.25">
      <c r="A5" s="129" t="s">
        <v>66</v>
      </c>
      <c r="B5" s="130"/>
      <c r="C5" s="131"/>
      <c r="D5" s="132"/>
      <c r="E5" s="133"/>
      <c r="F5" s="134"/>
      <c r="G5" s="134"/>
      <c r="H5" s="130"/>
      <c r="I5" s="125"/>
    </row>
    <row r="6" spans="1:9" ht="15.75" x14ac:dyDescent="0.25">
      <c r="A6" s="86" t="str">
        <f>'RECAP #XXXX.XX'!B6</f>
        <v xml:space="preserve">Project Manager - </v>
      </c>
      <c r="B6" s="86"/>
      <c r="C6" s="135"/>
      <c r="D6" s="136" t="s">
        <v>48</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c r="B9" s="409"/>
      <c r="C9" s="410"/>
      <c r="D9" s="412"/>
      <c r="E9" s="412">
        <f>D9</f>
        <v>0</v>
      </c>
      <c r="F9" s="413"/>
      <c r="G9" s="413"/>
      <c r="H9" s="413">
        <f>E9</f>
        <v>0</v>
      </c>
      <c r="I9" s="414"/>
    </row>
    <row r="10" spans="1:9" s="330" customFormat="1" ht="12.75" customHeight="1" x14ac:dyDescent="0.25">
      <c r="A10" s="408"/>
      <c r="B10" s="240"/>
      <c r="C10" s="410"/>
      <c r="D10" s="412"/>
      <c r="E10" s="412">
        <f t="shared" ref="E10:E21" si="0">E9+D10</f>
        <v>0</v>
      </c>
      <c r="F10" s="422"/>
      <c r="G10" s="413">
        <f t="shared" ref="G10:G21" si="1">G9+F10</f>
        <v>0</v>
      </c>
      <c r="H10" s="413">
        <f t="shared" ref="H10:H21" si="2">H9-F10+D10</f>
        <v>0</v>
      </c>
      <c r="I10" s="414"/>
    </row>
    <row r="11" spans="1:9" s="330" customFormat="1" ht="12.75" customHeight="1" x14ac:dyDescent="0.25">
      <c r="A11" s="408"/>
      <c r="B11" s="409"/>
      <c r="C11" s="410"/>
      <c r="D11" s="412"/>
      <c r="E11" s="412">
        <f t="shared" si="0"/>
        <v>0</v>
      </c>
      <c r="F11" s="422"/>
      <c r="G11" s="413">
        <f t="shared" si="1"/>
        <v>0</v>
      </c>
      <c r="H11" s="413">
        <f t="shared" si="2"/>
        <v>0</v>
      </c>
      <c r="I11" s="414"/>
    </row>
    <row r="12" spans="1:9" s="330" customFormat="1" ht="12.75" customHeight="1" x14ac:dyDescent="0.25">
      <c r="A12" s="408"/>
      <c r="B12" s="409"/>
      <c r="C12" s="410"/>
      <c r="D12" s="412"/>
      <c r="E12" s="412">
        <f t="shared" si="0"/>
        <v>0</v>
      </c>
      <c r="F12" s="422"/>
      <c r="G12" s="413">
        <f t="shared" si="1"/>
        <v>0</v>
      </c>
      <c r="H12" s="413">
        <f t="shared" si="2"/>
        <v>0</v>
      </c>
      <c r="I12" s="414"/>
    </row>
    <row r="13" spans="1:9" s="330" customFormat="1" ht="12.75" customHeight="1" x14ac:dyDescent="0.25">
      <c r="A13" s="408"/>
      <c r="B13" s="409"/>
      <c r="C13" s="410"/>
      <c r="D13" s="412"/>
      <c r="E13" s="412">
        <f t="shared" si="0"/>
        <v>0</v>
      </c>
      <c r="F13" s="422"/>
      <c r="G13" s="413">
        <f t="shared" si="1"/>
        <v>0</v>
      </c>
      <c r="H13" s="413">
        <f t="shared" si="2"/>
        <v>0</v>
      </c>
      <c r="I13" s="414"/>
    </row>
    <row r="14" spans="1:9" s="330" customFormat="1" ht="12.75" customHeight="1" x14ac:dyDescent="0.25">
      <c r="A14" s="408"/>
      <c r="B14" s="409"/>
      <c r="C14" s="410"/>
      <c r="D14" s="412"/>
      <c r="E14" s="412">
        <f t="shared" si="0"/>
        <v>0</v>
      </c>
      <c r="F14" s="413"/>
      <c r="G14" s="413">
        <f t="shared" si="1"/>
        <v>0</v>
      </c>
      <c r="H14" s="413">
        <f t="shared" si="2"/>
        <v>0</v>
      </c>
      <c r="I14" s="414"/>
    </row>
    <row r="15" spans="1:9" s="330" customFormat="1" ht="12.75" customHeight="1" x14ac:dyDescent="0.25">
      <c r="A15" s="408"/>
      <c r="B15" s="409"/>
      <c r="C15" s="410"/>
      <c r="D15" s="412"/>
      <c r="E15" s="412">
        <f t="shared" si="0"/>
        <v>0</v>
      </c>
      <c r="F15" s="422"/>
      <c r="G15" s="413">
        <f t="shared" si="1"/>
        <v>0</v>
      </c>
      <c r="H15" s="413">
        <f t="shared" si="2"/>
        <v>0</v>
      </c>
      <c r="I15" s="414"/>
    </row>
    <row r="16" spans="1:9" s="330" customFormat="1" ht="12.75" customHeight="1" x14ac:dyDescent="0.25">
      <c r="A16" s="408"/>
      <c r="B16" s="409"/>
      <c r="C16" s="410"/>
      <c r="D16" s="412"/>
      <c r="E16" s="412">
        <f t="shared" si="0"/>
        <v>0</v>
      </c>
      <c r="F16" s="422"/>
      <c r="G16" s="413">
        <f t="shared" si="1"/>
        <v>0</v>
      </c>
      <c r="H16" s="413">
        <f t="shared" si="2"/>
        <v>0</v>
      </c>
      <c r="I16" s="414"/>
    </row>
    <row r="17" spans="1:9" s="330" customFormat="1" ht="12.75" customHeight="1" x14ac:dyDescent="0.25">
      <c r="A17" s="408"/>
      <c r="B17" s="409"/>
      <c r="C17" s="410"/>
      <c r="D17" s="412"/>
      <c r="E17" s="412">
        <f t="shared" si="0"/>
        <v>0</v>
      </c>
      <c r="F17" s="422"/>
      <c r="G17" s="413">
        <f t="shared" si="1"/>
        <v>0</v>
      </c>
      <c r="H17" s="413">
        <f t="shared" si="2"/>
        <v>0</v>
      </c>
      <c r="I17" s="414"/>
    </row>
    <row r="18" spans="1:9" s="330" customFormat="1" ht="12.75" customHeight="1" x14ac:dyDescent="0.25">
      <c r="A18" s="408"/>
      <c r="B18" s="409"/>
      <c r="C18" s="410"/>
      <c r="D18" s="412"/>
      <c r="E18" s="412">
        <f t="shared" si="0"/>
        <v>0</v>
      </c>
      <c r="F18" s="422"/>
      <c r="G18" s="413">
        <f t="shared" si="1"/>
        <v>0</v>
      </c>
      <c r="H18" s="413">
        <f t="shared" si="2"/>
        <v>0</v>
      </c>
      <c r="I18" s="414"/>
    </row>
    <row r="19" spans="1:9" s="330" customFormat="1" ht="12.75" customHeight="1" x14ac:dyDescent="0.25">
      <c r="A19" s="408"/>
      <c r="B19" s="409"/>
      <c r="C19" s="410"/>
      <c r="D19" s="412"/>
      <c r="E19" s="412">
        <f t="shared" si="0"/>
        <v>0</v>
      </c>
      <c r="F19" s="413"/>
      <c r="G19" s="413">
        <f t="shared" si="1"/>
        <v>0</v>
      </c>
      <c r="H19" s="413">
        <f t="shared" si="2"/>
        <v>0</v>
      </c>
      <c r="I19" s="414"/>
    </row>
    <row r="20" spans="1:9" s="330" customFormat="1" ht="12.75" customHeight="1" x14ac:dyDescent="0.25">
      <c r="A20" s="408"/>
      <c r="B20" s="409"/>
      <c r="C20" s="410"/>
      <c r="D20" s="412"/>
      <c r="E20" s="412">
        <f t="shared" si="0"/>
        <v>0</v>
      </c>
      <c r="F20" s="413"/>
      <c r="G20" s="413">
        <f t="shared" si="1"/>
        <v>0</v>
      </c>
      <c r="H20" s="413">
        <f t="shared" si="2"/>
        <v>0</v>
      </c>
      <c r="I20" s="414"/>
    </row>
    <row r="21" spans="1:9" s="330" customFormat="1" ht="12.75" customHeight="1" x14ac:dyDescent="0.25">
      <c r="A21" s="408"/>
      <c r="B21" s="409"/>
      <c r="C21" s="423"/>
      <c r="D21" s="412"/>
      <c r="E21" s="412">
        <f t="shared" si="0"/>
        <v>0</v>
      </c>
      <c r="F21" s="413"/>
      <c r="G21" s="413">
        <f t="shared" si="1"/>
        <v>0</v>
      </c>
      <c r="H21" s="413">
        <f t="shared" si="2"/>
        <v>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0</v>
      </c>
      <c r="E23" s="426"/>
      <c r="F23" s="426">
        <f>SUM(F9:F22)</f>
        <v>0</v>
      </c>
      <c r="G23" s="426"/>
      <c r="H23" s="426">
        <f>D23-F23</f>
        <v>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192</v>
      </c>
      <c r="D26" s="413"/>
      <c r="E26" s="413"/>
      <c r="F26" s="413"/>
      <c r="G26" s="413"/>
      <c r="H26" s="413">
        <f>D26-F26</f>
        <v>0</v>
      </c>
      <c r="I26" s="414"/>
    </row>
    <row r="27" spans="1:9" s="330" customFormat="1" ht="12.75" customHeight="1" x14ac:dyDescent="0.25">
      <c r="A27" s="408"/>
      <c r="B27" s="410"/>
      <c r="C27" s="425" t="s">
        <v>118</v>
      </c>
      <c r="D27" s="413"/>
      <c r="E27" s="413"/>
      <c r="F27" s="413"/>
      <c r="G27" s="413"/>
      <c r="H27" s="413">
        <f>D27-F27</f>
        <v>0</v>
      </c>
      <c r="I27" s="414"/>
    </row>
    <row r="28" spans="1:9" s="330" customFormat="1" ht="12.75" customHeight="1" thickBot="1" x14ac:dyDescent="0.3">
      <c r="A28" s="408"/>
      <c r="B28" s="410"/>
      <c r="C28" s="424" t="s">
        <v>555</v>
      </c>
      <c r="D28" s="426">
        <f>SUM(D24:D27)</f>
        <v>0</v>
      </c>
      <c r="E28" s="427"/>
      <c r="F28" s="426">
        <f>SUM(F24:F27)</f>
        <v>0</v>
      </c>
      <c r="G28" s="427"/>
      <c r="H28" s="426">
        <f>SUM(H24:H27)</f>
        <v>0</v>
      </c>
      <c r="I28" s="41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row r="153" s="330" customFormat="1" ht="12.75" customHeight="1" x14ac:dyDescent="0.25"/>
    <row r="154" s="330" customFormat="1" ht="12.75" customHeight="1" x14ac:dyDescent="0.25"/>
    <row r="155" s="330" customFormat="1" ht="12.75" customHeight="1" x14ac:dyDescent="0.25"/>
    <row r="156" s="330" customFormat="1" ht="12.75" customHeight="1" x14ac:dyDescent="0.25"/>
    <row r="157" s="330" customFormat="1" ht="12.75" customHeight="1" x14ac:dyDescent="0.25"/>
    <row r="158" s="330" customFormat="1" ht="12.75" customHeight="1" x14ac:dyDescent="0.25"/>
    <row r="159" s="330" customFormat="1" ht="12.75" customHeight="1" x14ac:dyDescent="0.25"/>
    <row r="160" s="330" customFormat="1" ht="12.75" customHeight="1" x14ac:dyDescent="0.25"/>
    <row r="161" s="330" customFormat="1" ht="12.75" customHeight="1" x14ac:dyDescent="0.25"/>
    <row r="162" s="330" customFormat="1" ht="12.75" customHeight="1" x14ac:dyDescent="0.25"/>
    <row r="163" s="330" customFormat="1" ht="12.75" customHeight="1" x14ac:dyDescent="0.25"/>
    <row r="164" s="330" customFormat="1" ht="12.75" customHeight="1" x14ac:dyDescent="0.25"/>
    <row r="165" s="330" customFormat="1" ht="12.75" customHeight="1" x14ac:dyDescent="0.25"/>
    <row r="166" s="330" customFormat="1" ht="12.75" customHeight="1" x14ac:dyDescent="0.25"/>
    <row r="167" s="330" customFormat="1" ht="12.75" customHeight="1" x14ac:dyDescent="0.25"/>
    <row r="168" s="330" customFormat="1" ht="12.75" customHeight="1" x14ac:dyDescent="0.25"/>
    <row r="169" s="330" customFormat="1" ht="12.75" customHeight="1" x14ac:dyDescent="0.25"/>
    <row r="170" s="330" customFormat="1" ht="12.75" customHeight="1" x14ac:dyDescent="0.25"/>
    <row r="171" s="330" customFormat="1" ht="12.75" customHeight="1" x14ac:dyDescent="0.25"/>
    <row r="172" s="330" customFormat="1" ht="12.75" customHeight="1" x14ac:dyDescent="0.25"/>
    <row r="173" s="330" customFormat="1" ht="12.75" customHeight="1" x14ac:dyDescent="0.25"/>
    <row r="174" s="330" customFormat="1" ht="12.75" customHeight="1" x14ac:dyDescent="0.25"/>
    <row r="175" s="330" customFormat="1" ht="12.75" customHeight="1" x14ac:dyDescent="0.25"/>
    <row r="176" s="330" customFormat="1" ht="12.75" customHeight="1" x14ac:dyDescent="0.25"/>
    <row r="177" s="330" customFormat="1" ht="12.75" customHeight="1" x14ac:dyDescent="0.25"/>
    <row r="178" s="330" customFormat="1" ht="12.75" customHeight="1" x14ac:dyDescent="0.25"/>
    <row r="179" s="330" customFormat="1" ht="12.75" customHeight="1" x14ac:dyDescent="0.25"/>
    <row r="180" s="330" customFormat="1" ht="12.75" customHeight="1" x14ac:dyDescent="0.25"/>
    <row r="181" s="330" customFormat="1" ht="12.75" customHeight="1" x14ac:dyDescent="0.25"/>
    <row r="182" s="330" customFormat="1" ht="12.75" customHeight="1" x14ac:dyDescent="0.25"/>
    <row r="183" s="330" customFormat="1" ht="12.75" customHeight="1" x14ac:dyDescent="0.25"/>
    <row r="184" s="330" customFormat="1" ht="12.75" customHeight="1" x14ac:dyDescent="0.25"/>
    <row r="185" s="330" customFormat="1" ht="12.75" customHeight="1" x14ac:dyDescent="0.25"/>
    <row r="186" s="330" customFormat="1" ht="12.75" customHeight="1" x14ac:dyDescent="0.25"/>
    <row r="187" s="330" customFormat="1" ht="12.75" customHeight="1" x14ac:dyDescent="0.25"/>
    <row r="188" s="330" customFormat="1" ht="12.75" customHeight="1" x14ac:dyDescent="0.25"/>
    <row r="189" s="330" customFormat="1" ht="12.75" customHeight="1" x14ac:dyDescent="0.25"/>
    <row r="190" s="330" customFormat="1" ht="12.75" customHeight="1" x14ac:dyDescent="0.25"/>
    <row r="191" s="330" customFormat="1" ht="12.75" customHeight="1" x14ac:dyDescent="0.25"/>
    <row r="192" s="330" customFormat="1" ht="12.75" customHeight="1" x14ac:dyDescent="0.25"/>
    <row r="193" s="330" customFormat="1" ht="12.75" customHeight="1" x14ac:dyDescent="0.25"/>
  </sheetData>
  <conditionalFormatting sqref="I9:I28">
    <cfRule type="cellIs" dxfId="0"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93">
    <tabColor rgb="FF0070C0"/>
    <pageSetUpPr fitToPage="1"/>
  </sheetPr>
  <dimension ref="A1:J139"/>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78" t="str">
        <f>'RECAP #XXXX.XX'!B1</f>
        <v>Project Name</v>
      </c>
      <c r="B1" s="79"/>
      <c r="C1" s="79"/>
      <c r="D1" s="6"/>
      <c r="E1" s="6"/>
      <c r="F1" s="6"/>
      <c r="G1" s="124"/>
      <c r="H1" s="124"/>
      <c r="I1" s="125"/>
      <c r="J1" s="125"/>
    </row>
    <row r="2" spans="1:10" ht="15.75" x14ac:dyDescent="0.25">
      <c r="A2" s="81" t="str">
        <f>'RECAP #XXXX.XX'!B2</f>
        <v>Project # XXXX.XX</v>
      </c>
      <c r="B2" s="80"/>
      <c r="C2" s="80"/>
      <c r="D2" s="6"/>
      <c r="E2" s="6"/>
      <c r="F2" s="6"/>
      <c r="G2" s="124"/>
      <c r="H2" s="124"/>
      <c r="I2" s="125"/>
      <c r="J2" s="125"/>
    </row>
    <row r="3" spans="1:10" ht="15.75" x14ac:dyDescent="0.25">
      <c r="A3" s="82" t="str">
        <f>'RECAP #XXXX.XX'!B3</f>
        <v>Program code XXXXXX</v>
      </c>
      <c r="B3" s="80"/>
      <c r="C3" s="80"/>
      <c r="D3" s="6"/>
      <c r="E3" s="83" t="str">
        <f>'RECAP #XXXX.XX'!E3</f>
        <v xml:space="preserve">Major Program </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#XXXX.XX'!B6</f>
        <v xml:space="preserve">Project Manager - </v>
      </c>
      <c r="B6" s="86"/>
      <c r="C6" s="86"/>
      <c r="D6" s="135"/>
      <c r="E6" s="132" t="s">
        <v>397</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c r="E9" s="411"/>
      <c r="F9" s="412">
        <f>E9</f>
        <v>0</v>
      </c>
      <c r="G9" s="413"/>
      <c r="H9" s="413"/>
      <c r="I9" s="413">
        <f>F9</f>
        <v>0</v>
      </c>
      <c r="J9" s="414"/>
    </row>
    <row r="10" spans="1:10" s="330" customFormat="1" ht="12.75" customHeight="1" x14ac:dyDescent="0.25">
      <c r="A10" s="578"/>
      <c r="B10" s="409"/>
      <c r="C10" s="409"/>
      <c r="D10" s="425"/>
      <c r="E10" s="412"/>
      <c r="F10" s="412">
        <f t="shared" ref="F10:F21" si="0">F9+E10</f>
        <v>0</v>
      </c>
      <c r="G10" s="445"/>
      <c r="H10" s="413">
        <f t="shared" ref="H10:H21" si="1">H9+G10</f>
        <v>0</v>
      </c>
      <c r="I10" s="413">
        <f t="shared" ref="I10:I21" si="2">I9-G10+E10</f>
        <v>0</v>
      </c>
      <c r="J10" s="414"/>
    </row>
    <row r="11" spans="1:10" s="330" customFormat="1" ht="12.75" customHeight="1" x14ac:dyDescent="0.25">
      <c r="A11" s="578"/>
      <c r="B11" s="409"/>
      <c r="C11" s="409"/>
      <c r="D11" s="425"/>
      <c r="E11" s="412"/>
      <c r="F11" s="412">
        <f t="shared" si="0"/>
        <v>0</v>
      </c>
      <c r="G11" s="422"/>
      <c r="H11" s="413">
        <f t="shared" si="1"/>
        <v>0</v>
      </c>
      <c r="I11" s="413">
        <f t="shared" si="2"/>
        <v>0</v>
      </c>
      <c r="J11" s="414"/>
    </row>
    <row r="12" spans="1:10" s="330" customFormat="1" ht="12.75" customHeight="1" x14ac:dyDescent="0.25">
      <c r="A12" s="231"/>
      <c r="B12" s="409"/>
      <c r="C12" s="409"/>
      <c r="D12" s="425"/>
      <c r="E12" s="412"/>
      <c r="F12" s="412">
        <f t="shared" si="0"/>
        <v>0</v>
      </c>
      <c r="G12" s="422"/>
      <c r="H12" s="413">
        <f t="shared" si="1"/>
        <v>0</v>
      </c>
      <c r="I12" s="413">
        <f t="shared" si="2"/>
        <v>0</v>
      </c>
      <c r="J12" s="414"/>
    </row>
    <row r="13" spans="1:10" s="330" customFormat="1" ht="12.75" customHeight="1" x14ac:dyDescent="0.25">
      <c r="A13" s="231"/>
      <c r="B13" s="409"/>
      <c r="C13" s="409"/>
      <c r="D13" s="425"/>
      <c r="E13" s="412"/>
      <c r="F13" s="412">
        <f t="shared" si="0"/>
        <v>0</v>
      </c>
      <c r="G13" s="422"/>
      <c r="H13" s="413">
        <f t="shared" si="1"/>
        <v>0</v>
      </c>
      <c r="I13" s="413">
        <f t="shared" si="2"/>
        <v>0</v>
      </c>
      <c r="J13" s="414"/>
    </row>
    <row r="14" spans="1:10" s="330" customFormat="1" ht="12.75" customHeight="1" x14ac:dyDescent="0.25">
      <c r="A14" s="231"/>
      <c r="B14" s="409"/>
      <c r="C14" s="409"/>
      <c r="D14" s="425"/>
      <c r="E14" s="412"/>
      <c r="F14" s="412">
        <f t="shared" si="0"/>
        <v>0</v>
      </c>
      <c r="G14" s="413"/>
      <c r="H14" s="413">
        <f t="shared" si="1"/>
        <v>0</v>
      </c>
      <c r="I14" s="413">
        <f t="shared" si="2"/>
        <v>0</v>
      </c>
      <c r="J14" s="414"/>
    </row>
    <row r="15" spans="1:10" s="330" customFormat="1" ht="12.75" customHeight="1" x14ac:dyDescent="0.25">
      <c r="A15" s="231"/>
      <c r="B15" s="409"/>
      <c r="C15" s="409"/>
      <c r="D15" s="425"/>
      <c r="E15" s="412"/>
      <c r="F15" s="412">
        <f t="shared" si="0"/>
        <v>0</v>
      </c>
      <c r="G15" s="422"/>
      <c r="H15" s="413">
        <f t="shared" si="1"/>
        <v>0</v>
      </c>
      <c r="I15" s="413">
        <f t="shared" si="2"/>
        <v>0</v>
      </c>
      <c r="J15" s="414"/>
    </row>
    <row r="16" spans="1:10" s="330" customFormat="1" ht="12.75" customHeight="1" x14ac:dyDescent="0.25">
      <c r="A16" s="231"/>
      <c r="B16" s="409"/>
      <c r="C16" s="409"/>
      <c r="D16" s="425"/>
      <c r="E16" s="412"/>
      <c r="F16" s="412">
        <f t="shared" si="0"/>
        <v>0</v>
      </c>
      <c r="G16" s="422"/>
      <c r="H16" s="413">
        <f t="shared" si="1"/>
        <v>0</v>
      </c>
      <c r="I16" s="413">
        <f t="shared" si="2"/>
        <v>0</v>
      </c>
      <c r="J16" s="414"/>
    </row>
    <row r="17" spans="1:10" s="330" customFormat="1" ht="12.75" customHeight="1" x14ac:dyDescent="0.25">
      <c r="A17" s="231"/>
      <c r="B17" s="409"/>
      <c r="C17" s="409"/>
      <c r="D17" s="425"/>
      <c r="E17" s="412"/>
      <c r="F17" s="412">
        <f t="shared" si="0"/>
        <v>0</v>
      </c>
      <c r="G17" s="422"/>
      <c r="H17" s="413">
        <f t="shared" si="1"/>
        <v>0</v>
      </c>
      <c r="I17" s="413">
        <f t="shared" si="2"/>
        <v>0</v>
      </c>
      <c r="J17" s="414"/>
    </row>
    <row r="18" spans="1:10" s="330" customFormat="1" ht="12.75" customHeight="1" x14ac:dyDescent="0.25">
      <c r="A18" s="231"/>
      <c r="B18" s="409"/>
      <c r="C18" s="409"/>
      <c r="D18" s="425"/>
      <c r="E18" s="412"/>
      <c r="F18" s="412">
        <f t="shared" si="0"/>
        <v>0</v>
      </c>
      <c r="G18" s="422"/>
      <c r="H18" s="413">
        <f t="shared" si="1"/>
        <v>0</v>
      </c>
      <c r="I18" s="413">
        <f t="shared" si="2"/>
        <v>0</v>
      </c>
      <c r="J18" s="414"/>
    </row>
    <row r="19" spans="1:10" s="330" customFormat="1" ht="12.75" customHeight="1" x14ac:dyDescent="0.25">
      <c r="A19" s="231"/>
      <c r="B19" s="409"/>
      <c r="C19" s="409"/>
      <c r="D19" s="425"/>
      <c r="E19" s="412"/>
      <c r="F19" s="412">
        <f t="shared" si="0"/>
        <v>0</v>
      </c>
      <c r="G19" s="413"/>
      <c r="H19" s="413">
        <f t="shared" si="1"/>
        <v>0</v>
      </c>
      <c r="I19" s="413">
        <f t="shared" si="2"/>
        <v>0</v>
      </c>
      <c r="J19" s="414"/>
    </row>
    <row r="20" spans="1:10" s="330" customFormat="1" ht="12.75" customHeight="1" x14ac:dyDescent="0.25">
      <c r="A20" s="231"/>
      <c r="B20" s="409"/>
      <c r="C20" s="409"/>
      <c r="D20" s="425"/>
      <c r="E20" s="412"/>
      <c r="F20" s="412">
        <f t="shared" si="0"/>
        <v>0</v>
      </c>
      <c r="G20" s="413"/>
      <c r="H20" s="413">
        <f t="shared" si="1"/>
        <v>0</v>
      </c>
      <c r="I20" s="413">
        <f t="shared" si="2"/>
        <v>0</v>
      </c>
      <c r="J20" s="414"/>
    </row>
    <row r="21" spans="1:10" s="330" customFormat="1" ht="12.75" customHeight="1" x14ac:dyDescent="0.25">
      <c r="A21" s="231"/>
      <c r="B21" s="409"/>
      <c r="C21" s="409"/>
      <c r="D21" s="459"/>
      <c r="E21" s="412"/>
      <c r="F21" s="412">
        <f t="shared" si="0"/>
        <v>0</v>
      </c>
      <c r="G21" s="413"/>
      <c r="H21" s="413">
        <f t="shared" si="1"/>
        <v>0</v>
      </c>
      <c r="I21" s="413">
        <f t="shared" si="2"/>
        <v>0</v>
      </c>
      <c r="J21" s="414"/>
    </row>
    <row r="22" spans="1:10" s="330" customFormat="1" ht="12.75" customHeight="1" x14ac:dyDescent="0.25">
      <c r="A22" s="231"/>
      <c r="B22" s="410"/>
      <c r="C22" s="410"/>
      <c r="D22" s="425"/>
      <c r="E22" s="413"/>
      <c r="F22" s="413"/>
      <c r="G22" s="413"/>
      <c r="H22" s="413"/>
      <c r="I22" s="413"/>
      <c r="J22" s="414"/>
    </row>
    <row r="23" spans="1:10" s="330" customFormat="1" ht="12.75" customHeight="1" thickBot="1" x14ac:dyDescent="0.3">
      <c r="A23" s="231"/>
      <c r="B23" s="449"/>
      <c r="C23" s="449"/>
      <c r="D23" s="450" t="s">
        <v>54</v>
      </c>
      <c r="E23" s="426">
        <f>SUM(E9:E22)</f>
        <v>0</v>
      </c>
      <c r="F23" s="426"/>
      <c r="G23" s="426">
        <f>SUM(G9:G22)</f>
        <v>0</v>
      </c>
      <c r="H23" s="426"/>
      <c r="I23" s="426">
        <f>E23-G23</f>
        <v>0</v>
      </c>
      <c r="J23" s="41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94">
    <tabColor indexed="30"/>
    <pageSetUpPr fitToPage="1"/>
  </sheetPr>
  <dimension ref="A1:H127"/>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#XXXX.XX'!B1</f>
        <v>Project Name</v>
      </c>
      <c r="B1" s="79"/>
      <c r="C1" s="79"/>
      <c r="D1" s="79"/>
      <c r="E1" s="6"/>
      <c r="F1" s="6"/>
      <c r="G1" s="6"/>
      <c r="H1" s="124"/>
    </row>
    <row r="2" spans="1:8" ht="15.75" x14ac:dyDescent="0.25">
      <c r="A2" s="81" t="str">
        <f>'RECAP #XXXX.XX'!B2</f>
        <v>Project # XXXX.XX</v>
      </c>
      <c r="B2" s="80"/>
      <c r="C2" s="80"/>
      <c r="D2" s="80"/>
      <c r="E2" s="6"/>
      <c r="F2" s="6"/>
      <c r="G2" s="6"/>
      <c r="H2" s="124"/>
    </row>
    <row r="3" spans="1:8" ht="15.75" x14ac:dyDescent="0.25">
      <c r="A3" s="82" t="str">
        <f>'RECAP #XXXX.XX'!B3</f>
        <v>Program code XXXXXX</v>
      </c>
      <c r="B3" s="80"/>
      <c r="C3" s="80"/>
      <c r="D3" s="80"/>
      <c r="E3" s="83" t="str">
        <f>'RECAP #XXXX.XX'!E3</f>
        <v xml:space="preserve">Major Program </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#XXXX.XX'!B6</f>
        <v xml:space="preserve">Project Manager - </v>
      </c>
      <c r="B6" s="86"/>
      <c r="C6" s="86"/>
      <c r="D6" s="86"/>
      <c r="E6" s="83" t="s">
        <v>468</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ht="12.75" customHeight="1" x14ac:dyDescent="0.25">
      <c r="A9" s="133"/>
      <c r="B9" s="224"/>
      <c r="C9" s="225"/>
      <c r="D9" s="151"/>
      <c r="E9" s="144"/>
      <c r="F9" s="226"/>
      <c r="G9" s="155"/>
      <c r="H9" s="155">
        <f>G9</f>
        <v>0</v>
      </c>
    </row>
    <row r="10" spans="1:8" ht="12.75" customHeight="1" x14ac:dyDescent="0.25">
      <c r="A10" s="144"/>
      <c r="B10" s="224"/>
      <c r="C10" s="225"/>
      <c r="D10" s="151"/>
      <c r="E10" s="133"/>
      <c r="F10" s="219"/>
      <c r="G10" s="155"/>
      <c r="H10" s="155">
        <f>H9+G10</f>
        <v>0</v>
      </c>
    </row>
    <row r="11" spans="1:8" ht="12.75" customHeight="1" x14ac:dyDescent="0.25">
      <c r="A11" s="144"/>
      <c r="B11" s="224"/>
      <c r="C11" s="225"/>
      <c r="D11" s="151"/>
      <c r="E11" s="133"/>
      <c r="F11" s="219"/>
      <c r="G11" s="155"/>
      <c r="H11" s="155">
        <f t="shared" ref="H11:H20" si="0">H10+G11</f>
        <v>0</v>
      </c>
    </row>
    <row r="12" spans="1:8" ht="12.75" customHeight="1" x14ac:dyDescent="0.25">
      <c r="A12" s="144" t="s">
        <v>3</v>
      </c>
      <c r="B12" s="224" t="s">
        <v>3</v>
      </c>
      <c r="C12" s="225"/>
      <c r="D12" s="151"/>
      <c r="E12" s="133" t="s">
        <v>3</v>
      </c>
      <c r="F12" s="219"/>
      <c r="G12" s="155"/>
      <c r="H12" s="155">
        <f t="shared" si="0"/>
        <v>0</v>
      </c>
    </row>
    <row r="13" spans="1:8" ht="12.75" customHeight="1" x14ac:dyDescent="0.25">
      <c r="A13" s="144" t="s">
        <v>3</v>
      </c>
      <c r="B13" s="224" t="s">
        <v>3</v>
      </c>
      <c r="C13" s="225"/>
      <c r="D13" s="151"/>
      <c r="E13" s="133" t="s">
        <v>3</v>
      </c>
      <c r="F13" s="219"/>
      <c r="G13" s="155"/>
      <c r="H13" s="155">
        <f t="shared" si="0"/>
        <v>0</v>
      </c>
    </row>
    <row r="14" spans="1:8" ht="12.75" customHeight="1" x14ac:dyDescent="0.25">
      <c r="A14" s="144"/>
      <c r="B14" s="224"/>
      <c r="C14" s="225"/>
      <c r="D14" s="151"/>
      <c r="E14" s="133"/>
      <c r="F14" s="219"/>
      <c r="G14" s="155"/>
      <c r="H14" s="155">
        <f t="shared" si="0"/>
        <v>0</v>
      </c>
    </row>
    <row r="15" spans="1:8" ht="12.75" customHeight="1" x14ac:dyDescent="0.25">
      <c r="A15" s="144"/>
      <c r="B15" s="224"/>
      <c r="C15" s="225"/>
      <c r="D15" s="151"/>
      <c r="E15" s="171"/>
      <c r="F15" s="219"/>
      <c r="G15" s="155"/>
      <c r="H15" s="155">
        <f t="shared" si="0"/>
        <v>0</v>
      </c>
    </row>
    <row r="16" spans="1:8" ht="12.75" customHeight="1" x14ac:dyDescent="0.25">
      <c r="A16" s="144"/>
      <c r="B16" s="224"/>
      <c r="C16" s="225"/>
      <c r="D16" s="151"/>
      <c r="E16" s="133"/>
      <c r="F16" s="219"/>
      <c r="G16" s="155"/>
      <c r="H16" s="155">
        <f t="shared" si="0"/>
        <v>0</v>
      </c>
    </row>
    <row r="17" spans="1:8" ht="12.75" customHeight="1" x14ac:dyDescent="0.25">
      <c r="A17" s="144"/>
      <c r="B17" s="224"/>
      <c r="C17" s="225"/>
      <c r="D17" s="151"/>
      <c r="E17" s="133"/>
      <c r="F17" s="219"/>
      <c r="G17" s="155"/>
      <c r="H17" s="155">
        <f t="shared" si="0"/>
        <v>0</v>
      </c>
    </row>
    <row r="18" spans="1:8" ht="12.75" customHeight="1" x14ac:dyDescent="0.25">
      <c r="A18" s="144"/>
      <c r="B18" s="224"/>
      <c r="C18" s="225"/>
      <c r="D18" s="151"/>
      <c r="E18" s="133"/>
      <c r="F18" s="219"/>
      <c r="G18" s="155"/>
      <c r="H18" s="155">
        <f t="shared" si="0"/>
        <v>0</v>
      </c>
    </row>
    <row r="19" spans="1:8" ht="12.75" customHeight="1" x14ac:dyDescent="0.25">
      <c r="A19" s="144"/>
      <c r="B19" s="224"/>
      <c r="C19" s="225"/>
      <c r="D19" s="151"/>
      <c r="E19" s="133"/>
      <c r="F19" s="219"/>
      <c r="G19" s="155"/>
      <c r="H19" s="155">
        <f t="shared" si="0"/>
        <v>0</v>
      </c>
    </row>
    <row r="20" spans="1:8" ht="12.75" customHeight="1" x14ac:dyDescent="0.25">
      <c r="A20" s="144"/>
      <c r="B20" s="224"/>
      <c r="C20" s="225"/>
      <c r="D20" s="151"/>
      <c r="E20" s="133"/>
      <c r="F20" s="219"/>
      <c r="G20" s="155"/>
      <c r="H20" s="155">
        <f t="shared" si="0"/>
        <v>0</v>
      </c>
    </row>
    <row r="21" spans="1:8" ht="12.75" customHeight="1" x14ac:dyDescent="0.25">
      <c r="A21" s="144"/>
      <c r="B21" s="227"/>
      <c r="C21" s="225"/>
      <c r="D21" s="151"/>
      <c r="E21" s="133"/>
      <c r="F21" s="155"/>
      <c r="G21" s="133"/>
      <c r="H21" s="155"/>
    </row>
    <row r="22" spans="1:8" ht="12.75" customHeight="1" thickBot="1" x14ac:dyDescent="0.3">
      <c r="A22" s="172"/>
      <c r="B22" s="228"/>
      <c r="C22" s="229"/>
      <c r="D22" s="173"/>
      <c r="E22" s="174" t="s">
        <v>54</v>
      </c>
      <c r="F22" s="175"/>
      <c r="G22" s="579">
        <f>SUM(G9:G21)</f>
        <v>0</v>
      </c>
      <c r="H22" s="175"/>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customFormat="1" ht="12.75" customHeight="1" x14ac:dyDescent="0.25"/>
    <row r="34" customFormat="1" ht="12.75" customHeight="1" x14ac:dyDescent="0.25"/>
    <row r="35" customFormat="1" ht="12.75" customHeight="1" x14ac:dyDescent="0.25"/>
    <row r="36" customFormat="1" ht="12.75" customHeight="1" x14ac:dyDescent="0.25"/>
    <row r="37" customFormat="1" ht="12.75" customHeight="1" x14ac:dyDescent="0.25"/>
    <row r="38" customFormat="1" ht="12.75" customHeight="1" x14ac:dyDescent="0.25"/>
    <row r="39" customFormat="1" ht="12.75" customHeight="1" x14ac:dyDescent="0.25"/>
    <row r="40" customFormat="1" ht="12.75" customHeight="1" x14ac:dyDescent="0.25"/>
    <row r="41" customFormat="1" ht="12.75" customHeight="1" x14ac:dyDescent="0.25"/>
    <row r="42" customFormat="1" ht="12.75" customHeight="1" x14ac:dyDescent="0.25"/>
    <row r="43" customFormat="1" ht="12.75" customHeight="1" x14ac:dyDescent="0.25"/>
    <row r="44" customFormat="1" ht="12.75" customHeight="1" x14ac:dyDescent="0.25"/>
    <row r="45" customFormat="1" ht="12.75" customHeight="1" x14ac:dyDescent="0.25"/>
    <row r="46" customFormat="1" ht="12.75" customHeight="1" x14ac:dyDescent="0.25"/>
    <row r="47" customFormat="1" ht="12.75" customHeight="1" x14ac:dyDescent="0.25"/>
    <row r="4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row r="92" customFormat="1" ht="12.75" customHeight="1" x14ac:dyDescent="0.25"/>
    <row r="93" customFormat="1" ht="12.75" customHeight="1" x14ac:dyDescent="0.25"/>
    <row r="94" customFormat="1" ht="12.75" customHeight="1" x14ac:dyDescent="0.25"/>
    <row r="95"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1318</v>
      </c>
      <c r="C1" s="79"/>
      <c r="D1" s="6"/>
      <c r="E1" s="6"/>
      <c r="F1" s="6"/>
      <c r="G1" s="6"/>
    </row>
    <row r="2" spans="1:7" ht="15.75" x14ac:dyDescent="0.25">
      <c r="A2" s="77"/>
      <c r="B2" s="81" t="s">
        <v>370</v>
      </c>
      <c r="C2" s="80"/>
      <c r="D2" s="6"/>
      <c r="E2" s="6"/>
      <c r="F2" s="6"/>
      <c r="G2" s="6"/>
    </row>
    <row r="3" spans="1:7" ht="15.75" x14ac:dyDescent="0.25">
      <c r="A3" s="77"/>
      <c r="B3" s="82" t="s">
        <v>485</v>
      </c>
      <c r="C3" s="80"/>
      <c r="D3" s="6"/>
      <c r="E3" s="83" t="s">
        <v>369</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368</v>
      </c>
      <c r="C6" s="87"/>
      <c r="D6" s="88" t="s">
        <v>3</v>
      </c>
      <c r="E6" s="6"/>
      <c r="F6" s="6"/>
      <c r="G6" s="6"/>
    </row>
    <row r="7" spans="1:7" ht="32.25" customHeight="1" thickBot="1" x14ac:dyDescent="0.3">
      <c r="A7" s="77"/>
      <c r="B7" s="89" t="s">
        <v>3</v>
      </c>
      <c r="C7" s="90" t="s">
        <v>0</v>
      </c>
      <c r="D7" s="91" t="s">
        <v>1</v>
      </c>
      <c r="E7" s="92" t="s">
        <v>2</v>
      </c>
      <c r="F7" s="93" t="s">
        <v>37</v>
      </c>
      <c r="G7" s="93" t="s">
        <v>38</v>
      </c>
    </row>
    <row r="8" spans="1:7" ht="28.35" customHeight="1" x14ac:dyDescent="0.25">
      <c r="A8" s="77"/>
      <c r="B8" s="80" t="s">
        <v>39</v>
      </c>
      <c r="C8" s="94">
        <f>'#9239.02 Funds Recv''d'!H24</f>
        <v>3700000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170</v>
      </c>
      <c r="B10" s="474" t="s">
        <v>481</v>
      </c>
      <c r="C10" s="475"/>
      <c r="D10" s="479">
        <f>'#9239.02 Samuels Group'!D23</f>
        <v>9925.15</v>
      </c>
      <c r="E10" s="479">
        <f>'#9239.02 Samuels Group'!F23</f>
        <v>9925.15</v>
      </c>
      <c r="F10" s="479">
        <f>'#9239.02 Samuels Group'!H23</f>
        <v>0</v>
      </c>
      <c r="G10" s="477"/>
    </row>
    <row r="11" spans="1:7" s="330" customFormat="1" ht="12.75" customHeight="1" x14ac:dyDescent="0.25">
      <c r="A11" s="473"/>
      <c r="B11" s="474" t="s">
        <v>41</v>
      </c>
      <c r="C11" s="475"/>
      <c r="D11" s="479">
        <f>'#9239.02 PM TIME '!E44</f>
        <v>45000</v>
      </c>
      <c r="E11" s="479">
        <f>'#9239.02 PM TIME '!G44</f>
        <v>18431.159999999993</v>
      </c>
      <c r="F11" s="479">
        <f>'#9239.02 PM TIME '!I44</f>
        <v>26568.840000000007</v>
      </c>
      <c r="G11" s="477"/>
    </row>
    <row r="12" spans="1:7" s="330" customFormat="1" ht="12.75" customHeight="1" x14ac:dyDescent="0.25">
      <c r="A12" s="473"/>
      <c r="B12" s="474" t="s">
        <v>42</v>
      </c>
      <c r="C12" s="476"/>
      <c r="D12" s="463">
        <f>'#9239.02 Misc'!G22</f>
        <v>10088.619999999999</v>
      </c>
      <c r="E12" s="463">
        <f>'#9239.02 Misc'!G22</f>
        <v>10088.619999999999</v>
      </c>
      <c r="F12" s="479">
        <f>D12-E12</f>
        <v>0</v>
      </c>
      <c r="G12" s="477"/>
    </row>
    <row r="13" spans="1:7" s="330" customFormat="1" ht="12.75" customHeight="1" x14ac:dyDescent="0.25">
      <c r="A13" s="478" t="s">
        <v>170</v>
      </c>
      <c r="B13" s="474" t="s">
        <v>520</v>
      </c>
      <c r="C13" s="476"/>
      <c r="D13" s="463">
        <f>'#9239.02 FarnsworthGroup'!D23</f>
        <v>15540</v>
      </c>
      <c r="E13" s="463">
        <f>'#9239.02 FarnsworthGroup'!F23</f>
        <v>15540</v>
      </c>
      <c r="F13" s="479">
        <f>'#9239.02 FarnsworthGroup'!H23</f>
        <v>0</v>
      </c>
      <c r="G13" s="477"/>
    </row>
    <row r="14" spans="1:7" s="330" customFormat="1" ht="12.75" customHeight="1" x14ac:dyDescent="0.25">
      <c r="A14" s="473"/>
      <c r="B14" s="474" t="s">
        <v>626</v>
      </c>
      <c r="C14" s="476"/>
      <c r="D14" s="463">
        <f>'#9239.02 FarnsworthGroup (2)'!D23</f>
        <v>236411</v>
      </c>
      <c r="E14" s="463">
        <f>'#9239.02 FarnsworthGroup (2)'!F23</f>
        <v>219848.9</v>
      </c>
      <c r="F14" s="479">
        <f>'#9239.02 FarnsworthGroup (2)'!H23</f>
        <v>16562.100000000006</v>
      </c>
      <c r="G14" s="477"/>
    </row>
    <row r="15" spans="1:7" s="330" customFormat="1" ht="12.75" customHeight="1" x14ac:dyDescent="0.25">
      <c r="A15" s="478" t="s">
        <v>170</v>
      </c>
      <c r="B15" s="474" t="s">
        <v>779</v>
      </c>
      <c r="C15" s="476"/>
      <c r="D15" s="463">
        <f>'#9239.02 Samuels Group (2)'!D23</f>
        <v>39312.93</v>
      </c>
      <c r="E15" s="463">
        <f>'#9239.02 Samuels Group (2)'!F23</f>
        <v>39312.93</v>
      </c>
      <c r="F15" s="479">
        <f>'#9239.02 Samuels Group (2)'!H23</f>
        <v>0</v>
      </c>
      <c r="G15" s="477"/>
    </row>
    <row r="16" spans="1:7" s="330" customFormat="1" ht="12.75" customHeight="1" x14ac:dyDescent="0.25">
      <c r="A16" s="473"/>
      <c r="B16" s="474" t="s">
        <v>1194</v>
      </c>
      <c r="C16" s="476"/>
      <c r="D16" s="463">
        <f>'#9239.02 Accurate Commercial'!D23</f>
        <v>1599112.1400000001</v>
      </c>
      <c r="E16" s="463">
        <f>'#9239.02 Accurate Commercial'!F23</f>
        <v>1045903.3099999998</v>
      </c>
      <c r="F16" s="479">
        <f>'#9239.02 Accurate Commercial'!H23</f>
        <v>553208.83000000031</v>
      </c>
      <c r="G16" s="477"/>
    </row>
    <row r="17" spans="1:7" s="330" customFormat="1" ht="12.75" customHeight="1" x14ac:dyDescent="0.25">
      <c r="A17" s="473"/>
      <c r="B17" s="474" t="s">
        <v>1198</v>
      </c>
      <c r="C17" s="476"/>
      <c r="D17" s="463">
        <f>'#9239.02 Proctor Mechanical'!D23</f>
        <v>868592.29</v>
      </c>
      <c r="E17" s="463">
        <f>'#9239.02 Proctor Mechanical'!F23</f>
        <v>269410.65000000002</v>
      </c>
      <c r="F17" s="479">
        <f>'#9239.02 Proctor Mechanical'!H23</f>
        <v>599181.64</v>
      </c>
      <c r="G17" s="477"/>
    </row>
    <row r="18" spans="1:7" s="330" customFormat="1" ht="12.75" customHeight="1" x14ac:dyDescent="0.25">
      <c r="A18" s="473"/>
      <c r="B18" s="474" t="s">
        <v>1249</v>
      </c>
      <c r="C18" s="476"/>
      <c r="D18" s="463">
        <f>'#9239.02 Con-Struct Inc'!D23</f>
        <v>524703.68999999994</v>
      </c>
      <c r="E18" s="463">
        <f>'#9239.02 Con-Struct Inc'!F23</f>
        <v>410253.79000000004</v>
      </c>
      <c r="F18" s="479">
        <f>'#9239.02 Con-Struct Inc'!H23</f>
        <v>114449.89999999991</v>
      </c>
      <c r="G18" s="477"/>
    </row>
    <row r="19" spans="1:7" s="330" customFormat="1" ht="12.75" customHeight="1" x14ac:dyDescent="0.25">
      <c r="A19" s="473"/>
      <c r="B19" s="474" t="s">
        <v>1280</v>
      </c>
      <c r="C19" s="476"/>
      <c r="D19" s="463">
        <f>'#9239.02 Samuels Group (3)'!D23</f>
        <v>280801.09999999998</v>
      </c>
      <c r="E19" s="463">
        <f>'#9239.02 Samuels Group (3)'!F23</f>
        <v>96527.93</v>
      </c>
      <c r="F19" s="479">
        <f>'#9239.02 Samuels Group (3)'!H23</f>
        <v>184273.16999999998</v>
      </c>
      <c r="G19" s="477"/>
    </row>
    <row r="20" spans="1:7" s="330" customFormat="1" ht="12.75" customHeight="1" x14ac:dyDescent="0.25">
      <c r="A20" s="473"/>
      <c r="B20" s="474" t="s">
        <v>700</v>
      </c>
      <c r="C20" s="476"/>
      <c r="D20" s="463">
        <f>'#9239.02 Terracon Consultants'!D23</f>
        <v>15170</v>
      </c>
      <c r="E20" s="463">
        <f>'#9239.02 Terracon Consultants'!F23</f>
        <v>10877</v>
      </c>
      <c r="F20" s="479">
        <f>'#9239.02 Terracon Consultants'!H23</f>
        <v>4293</v>
      </c>
      <c r="G20" s="477"/>
    </row>
    <row r="21" spans="1:7" s="330" customFormat="1" ht="12.75" customHeight="1" x14ac:dyDescent="0.25">
      <c r="A21" s="473"/>
      <c r="B21" s="474" t="s">
        <v>1740</v>
      </c>
      <c r="C21" s="476"/>
      <c r="D21" s="463">
        <f>'#9239.02 Interstate Power'!D23</f>
        <v>17198.75</v>
      </c>
      <c r="E21" s="463">
        <f>'#9239.02 Interstate Power'!F23</f>
        <v>0</v>
      </c>
      <c r="F21" s="479">
        <f>'#9239.02 Interstate Power'!H23</f>
        <v>17198.75</v>
      </c>
      <c r="G21" s="477"/>
    </row>
    <row r="22" spans="1:7" ht="13.35" customHeight="1" x14ac:dyDescent="0.25">
      <c r="A22" s="77"/>
      <c r="B22" s="80"/>
      <c r="C22" s="98"/>
      <c r="D22" s="99"/>
      <c r="E22" s="99"/>
      <c r="F22" s="95"/>
      <c r="G22" s="96"/>
    </row>
    <row r="23" spans="1:7" ht="24" customHeight="1" thickBot="1" x14ac:dyDescent="0.3">
      <c r="A23" s="100"/>
      <c r="B23" s="101" t="s">
        <v>43</v>
      </c>
      <c r="C23" s="102">
        <f>SUM(C8:C22)</f>
        <v>3700000</v>
      </c>
      <c r="D23" s="102">
        <f>SUM(D8:D22)</f>
        <v>3661855.67</v>
      </c>
      <c r="E23" s="102">
        <f>SUM(E8:E22)</f>
        <v>2146119.44</v>
      </c>
      <c r="F23" s="102">
        <f>SUM(D23-E23)</f>
        <v>1515736.23</v>
      </c>
      <c r="G23" s="102">
        <f>C23-D23</f>
        <v>38144.330000000075</v>
      </c>
    </row>
    <row r="24"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
Acct Codes 0506-335-DA25&amp;C
&amp;Z&amp;F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0"/>
    <pageSetUpPr fitToPage="1"/>
  </sheetPr>
  <dimension ref="A1:H148"/>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#9239.03'!B1</f>
        <v>DOC-NCF-IPI Homes or Iowa Facility Project Fencing - Phase II</v>
      </c>
      <c r="B1" s="79"/>
      <c r="C1" s="79"/>
      <c r="D1" s="79"/>
      <c r="E1" s="6"/>
      <c r="F1" s="6"/>
      <c r="G1" s="6"/>
      <c r="H1" s="124"/>
    </row>
    <row r="2" spans="1:8" ht="15.75" x14ac:dyDescent="0.25">
      <c r="A2" s="81" t="str">
        <f>'RECAP #9239.03'!B2</f>
        <v>Project # 9239.03</v>
      </c>
      <c r="B2" s="80"/>
      <c r="C2" s="80"/>
      <c r="D2" s="80"/>
      <c r="E2" s="6"/>
      <c r="F2" s="6"/>
      <c r="G2" s="6"/>
      <c r="H2" s="124"/>
    </row>
    <row r="3" spans="1:8" ht="15.75" x14ac:dyDescent="0.25">
      <c r="A3" s="82" t="str">
        <f>'RECAP #9239.03'!B3</f>
        <v>Program code 923903</v>
      </c>
      <c r="B3" s="80"/>
      <c r="C3" s="80"/>
      <c r="D3" s="80"/>
      <c r="E3" s="83" t="str">
        <f>'RECAP #9239.03'!E3</f>
        <v>Major Program 4B01</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#9239.03'!B6</f>
        <v>Project Manager - Brad T</v>
      </c>
      <c r="B6" s="86"/>
      <c r="C6" s="86"/>
      <c r="D6" s="86"/>
      <c r="E6" s="83" t="s">
        <v>783</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59"/>
      <c r="B9" s="483"/>
      <c r="C9" s="487"/>
      <c r="D9" s="423"/>
      <c r="E9" s="408"/>
      <c r="F9" s="485"/>
      <c r="G9" s="461"/>
      <c r="H9" s="461">
        <f>G9</f>
        <v>0</v>
      </c>
    </row>
    <row r="10" spans="1:8" s="330" customFormat="1" ht="12.75" customHeight="1" x14ac:dyDescent="0.25">
      <c r="A10" s="408"/>
      <c r="B10" s="483"/>
      <c r="C10" s="487"/>
      <c r="D10" s="423"/>
      <c r="E10" s="459"/>
      <c r="F10" s="381"/>
      <c r="G10" s="461"/>
      <c r="H10" s="461">
        <f>H9+G10</f>
        <v>0</v>
      </c>
    </row>
    <row r="11" spans="1:8" s="330" customFormat="1" ht="12.75" customHeight="1" x14ac:dyDescent="0.25">
      <c r="A11" s="408"/>
      <c r="B11" s="483"/>
      <c r="C11" s="487"/>
      <c r="D11" s="423"/>
      <c r="E11" s="459"/>
      <c r="F11" s="381"/>
      <c r="G11" s="461"/>
      <c r="H11" s="461">
        <f t="shared" ref="H11:H20" si="0">H10+G11</f>
        <v>0</v>
      </c>
    </row>
    <row r="12" spans="1:8" s="330" customFormat="1" ht="12.75" customHeight="1" x14ac:dyDescent="0.25">
      <c r="A12" s="408" t="s">
        <v>3</v>
      </c>
      <c r="B12" s="483" t="s">
        <v>3</v>
      </c>
      <c r="C12" s="487"/>
      <c r="D12" s="423"/>
      <c r="E12" s="459" t="s">
        <v>3</v>
      </c>
      <c r="F12" s="381"/>
      <c r="G12" s="461"/>
      <c r="H12" s="461">
        <f t="shared" si="0"/>
        <v>0</v>
      </c>
    </row>
    <row r="13" spans="1:8" s="330" customFormat="1" ht="12.75" customHeight="1" x14ac:dyDescent="0.25">
      <c r="A13" s="408" t="s">
        <v>3</v>
      </c>
      <c r="B13" s="483" t="s">
        <v>3</v>
      </c>
      <c r="C13" s="487"/>
      <c r="D13" s="423"/>
      <c r="E13" s="459" t="s">
        <v>3</v>
      </c>
      <c r="F13" s="381"/>
      <c r="G13" s="461"/>
      <c r="H13" s="461">
        <f t="shared" si="0"/>
        <v>0</v>
      </c>
    </row>
    <row r="14" spans="1:8" s="330" customFormat="1" ht="12.75" customHeight="1" x14ac:dyDescent="0.25">
      <c r="A14" s="408"/>
      <c r="B14" s="483"/>
      <c r="C14" s="487"/>
      <c r="D14" s="423"/>
      <c r="E14" s="459"/>
      <c r="F14" s="381"/>
      <c r="G14" s="461"/>
      <c r="H14" s="461">
        <f t="shared" si="0"/>
        <v>0</v>
      </c>
    </row>
    <row r="15" spans="1:8" s="330" customFormat="1" ht="12.75" customHeight="1" x14ac:dyDescent="0.25">
      <c r="A15" s="408"/>
      <c r="B15" s="483"/>
      <c r="C15" s="487"/>
      <c r="D15" s="423"/>
      <c r="E15" s="464"/>
      <c r="F15" s="381"/>
      <c r="G15" s="461"/>
      <c r="H15" s="461">
        <f t="shared" si="0"/>
        <v>0</v>
      </c>
    </row>
    <row r="16" spans="1:8" s="330" customFormat="1" ht="12.75" customHeight="1" x14ac:dyDescent="0.25">
      <c r="A16" s="408"/>
      <c r="B16" s="483"/>
      <c r="C16" s="487"/>
      <c r="D16" s="423"/>
      <c r="E16" s="459"/>
      <c r="F16" s="381"/>
      <c r="G16" s="461"/>
      <c r="H16" s="461">
        <f t="shared" si="0"/>
        <v>0</v>
      </c>
    </row>
    <row r="17" spans="1:8" s="330" customFormat="1" ht="12.75" customHeight="1" x14ac:dyDescent="0.25">
      <c r="A17" s="408"/>
      <c r="B17" s="483"/>
      <c r="C17" s="487"/>
      <c r="D17" s="423"/>
      <c r="E17" s="459"/>
      <c r="F17" s="381"/>
      <c r="G17" s="461"/>
      <c r="H17" s="461">
        <f t="shared" si="0"/>
        <v>0</v>
      </c>
    </row>
    <row r="18" spans="1:8" s="330" customFormat="1" ht="12.75" customHeight="1" x14ac:dyDescent="0.25">
      <c r="A18" s="408"/>
      <c r="B18" s="483"/>
      <c r="C18" s="487"/>
      <c r="D18" s="423"/>
      <c r="E18" s="459"/>
      <c r="F18" s="381"/>
      <c r="G18" s="461"/>
      <c r="H18" s="461">
        <f t="shared" si="0"/>
        <v>0</v>
      </c>
    </row>
    <row r="19" spans="1:8" s="330" customFormat="1" ht="12.75" customHeight="1" x14ac:dyDescent="0.25">
      <c r="A19" s="408"/>
      <c r="B19" s="483"/>
      <c r="C19" s="487"/>
      <c r="D19" s="423"/>
      <c r="E19" s="459"/>
      <c r="F19" s="381"/>
      <c r="G19" s="461"/>
      <c r="H19" s="461">
        <f t="shared" si="0"/>
        <v>0</v>
      </c>
    </row>
    <row r="20" spans="1:8" s="330" customFormat="1" ht="12.75" customHeight="1" x14ac:dyDescent="0.25">
      <c r="A20" s="408"/>
      <c r="B20" s="483"/>
      <c r="C20" s="487"/>
      <c r="D20" s="423"/>
      <c r="E20" s="459"/>
      <c r="F20" s="381"/>
      <c r="G20" s="461"/>
      <c r="H20" s="461">
        <f t="shared" si="0"/>
        <v>0</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54</v>
      </c>
      <c r="F22" s="467"/>
      <c r="G22" s="426">
        <f>SUM(G9:G21)</f>
        <v>0</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0070C0"/>
    <pageSetUpPr fitToPage="1"/>
  </sheetPr>
  <dimension ref="A1:I159"/>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109" t="str">
        <f>'RECAP #9239.03'!B1</f>
        <v>DOC-NCF-IPI Homes or Iowa Facility Project Fencing - Phase II</v>
      </c>
      <c r="B1" s="109"/>
      <c r="C1" s="179"/>
      <c r="D1" s="179"/>
      <c r="E1" s="179"/>
      <c r="F1" s="180"/>
      <c r="G1" s="180"/>
      <c r="H1" s="181"/>
      <c r="I1" s="181"/>
    </row>
    <row r="2" spans="1:9" ht="15.75" x14ac:dyDescent="0.25">
      <c r="A2" s="126" t="str">
        <f>'RECAP #9239.03'!B2</f>
        <v>Project # 9239.03</v>
      </c>
      <c r="B2" s="182"/>
      <c r="C2" s="179"/>
      <c r="D2" s="179"/>
      <c r="E2" s="179"/>
      <c r="F2" s="180"/>
      <c r="G2" s="180"/>
      <c r="H2" s="181"/>
      <c r="I2" s="181"/>
    </row>
    <row r="3" spans="1:9" ht="15.75" x14ac:dyDescent="0.25">
      <c r="A3" s="183" t="str">
        <f>'RECAP #9239.03'!B3</f>
        <v>Program code 923903</v>
      </c>
      <c r="B3" s="182"/>
      <c r="C3" s="179"/>
      <c r="D3" s="184" t="str">
        <f>'RECAP #9239.03'!E3</f>
        <v>Major Program 4B01</v>
      </c>
      <c r="E3" s="179"/>
      <c r="F3" s="180"/>
      <c r="G3" s="180"/>
      <c r="H3" s="181"/>
      <c r="I3" s="181"/>
    </row>
    <row r="4" spans="1:9" ht="15.75" x14ac:dyDescent="0.25">
      <c r="A4" s="109" t="s">
        <v>481</v>
      </c>
      <c r="B4" s="126"/>
      <c r="C4" s="181"/>
      <c r="D4" s="185" t="s">
        <v>482</v>
      </c>
      <c r="E4" s="180"/>
      <c r="F4" s="180"/>
      <c r="G4" s="180"/>
      <c r="H4" s="181"/>
      <c r="I4" s="181"/>
    </row>
    <row r="5" spans="1:9" ht="15.75" x14ac:dyDescent="0.25">
      <c r="A5" s="186" t="s">
        <v>109</v>
      </c>
      <c r="B5" s="181"/>
      <c r="C5" s="187"/>
      <c r="D5" s="132" t="s">
        <v>483</v>
      </c>
      <c r="E5" s="137"/>
      <c r="F5" s="180"/>
      <c r="G5" s="180"/>
      <c r="H5" s="181"/>
      <c r="I5" s="181"/>
    </row>
    <row r="6" spans="1:9" ht="15.75" x14ac:dyDescent="0.25">
      <c r="A6" s="126" t="str">
        <f>'RECAP #9239.03'!B6</f>
        <v>Project Manager - Brad T</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780</v>
      </c>
      <c r="B9" s="500">
        <v>45805</v>
      </c>
      <c r="C9" s="501" t="s">
        <v>107</v>
      </c>
      <c r="D9" s="404">
        <v>26776.799999999999</v>
      </c>
      <c r="E9" s="502">
        <f>D9</f>
        <v>26776.799999999999</v>
      </c>
      <c r="F9" s="406"/>
      <c r="G9" s="503"/>
      <c r="H9" s="503">
        <f>E9</f>
        <v>26776.799999999999</v>
      </c>
      <c r="I9" s="504"/>
    </row>
    <row r="10" spans="1:9" s="330" customFormat="1" ht="12.75" customHeight="1" x14ac:dyDescent="0.25">
      <c r="A10" s="505" t="s">
        <v>940</v>
      </c>
      <c r="B10" s="506">
        <v>45848</v>
      </c>
      <c r="C10" s="507" t="s">
        <v>941</v>
      </c>
      <c r="D10" s="508"/>
      <c r="E10" s="508">
        <f t="shared" ref="E10:E21" si="0">E9+D10</f>
        <v>26776.799999999999</v>
      </c>
      <c r="F10" s="509">
        <v>6028.55</v>
      </c>
      <c r="G10" s="510">
        <f t="shared" ref="G10:G21" si="1">G9+F10</f>
        <v>6028.55</v>
      </c>
      <c r="H10" s="510">
        <f t="shared" ref="H10:H21" si="2">H9-F10+D10</f>
        <v>20748.25</v>
      </c>
      <c r="I10" s="511" t="s">
        <v>1015</v>
      </c>
    </row>
    <row r="11" spans="1:9" s="330" customFormat="1" ht="12.75" customHeight="1" x14ac:dyDescent="0.25">
      <c r="A11" s="499" t="s">
        <v>1020</v>
      </c>
      <c r="B11" s="500">
        <v>45889</v>
      </c>
      <c r="C11" s="501" t="s">
        <v>1017</v>
      </c>
      <c r="D11" s="404">
        <v>0</v>
      </c>
      <c r="E11" s="502">
        <f t="shared" si="0"/>
        <v>26776.799999999999</v>
      </c>
      <c r="F11" s="406"/>
      <c r="G11" s="503">
        <f t="shared" si="1"/>
        <v>6028.55</v>
      </c>
      <c r="H11" s="503">
        <f t="shared" si="2"/>
        <v>20748.25</v>
      </c>
      <c r="I11" s="504"/>
    </row>
    <row r="12" spans="1:9" s="330" customFormat="1" ht="12.75" customHeight="1" x14ac:dyDescent="0.25">
      <c r="A12" s="499" t="s">
        <v>1095</v>
      </c>
      <c r="B12" s="500">
        <v>45908</v>
      </c>
      <c r="C12" s="501" t="s">
        <v>1094</v>
      </c>
      <c r="D12" s="502"/>
      <c r="E12" s="502">
        <f t="shared" si="0"/>
        <v>26776.799999999999</v>
      </c>
      <c r="F12" s="406">
        <v>8356.73</v>
      </c>
      <c r="G12" s="503">
        <f t="shared" si="1"/>
        <v>14385.279999999999</v>
      </c>
      <c r="H12" s="503">
        <f t="shared" si="2"/>
        <v>12391.52</v>
      </c>
      <c r="I12" s="504"/>
    </row>
    <row r="13" spans="1:9" s="330" customFormat="1" ht="12.75" customHeight="1" x14ac:dyDescent="0.25">
      <c r="A13" s="499" t="s">
        <v>1131</v>
      </c>
      <c r="B13" s="500">
        <v>45915</v>
      </c>
      <c r="C13" s="501" t="s">
        <v>1132</v>
      </c>
      <c r="D13" s="502"/>
      <c r="E13" s="502">
        <f t="shared" si="0"/>
        <v>26776.799999999999</v>
      </c>
      <c r="F13" s="406">
        <v>3452.75</v>
      </c>
      <c r="G13" s="503">
        <f t="shared" si="1"/>
        <v>17838.03</v>
      </c>
      <c r="H13" s="503">
        <f t="shared" si="2"/>
        <v>8938.77</v>
      </c>
      <c r="I13" s="504"/>
    </row>
    <row r="14" spans="1:9" s="330" customFormat="1" ht="12.75" customHeight="1" x14ac:dyDescent="0.25">
      <c r="A14" s="499" t="s">
        <v>1229</v>
      </c>
      <c r="B14" s="500">
        <v>45937</v>
      </c>
      <c r="C14" s="501" t="s">
        <v>1230</v>
      </c>
      <c r="D14" s="502"/>
      <c r="E14" s="502">
        <f t="shared" si="0"/>
        <v>26776.799999999999</v>
      </c>
      <c r="F14" s="406">
        <v>2323.84</v>
      </c>
      <c r="G14" s="503">
        <f t="shared" si="1"/>
        <v>20161.87</v>
      </c>
      <c r="H14" s="503">
        <f t="shared" si="2"/>
        <v>6614.93</v>
      </c>
      <c r="I14" s="504"/>
    </row>
    <row r="15" spans="1:9" s="330" customFormat="1" ht="12.75" customHeight="1" x14ac:dyDescent="0.25">
      <c r="A15" s="499" t="s">
        <v>1339</v>
      </c>
      <c r="B15" s="500">
        <v>45974</v>
      </c>
      <c r="C15" s="501" t="s">
        <v>1340</v>
      </c>
      <c r="D15" s="512">
        <v>-1267.47</v>
      </c>
      <c r="E15" s="502">
        <f t="shared" si="0"/>
        <v>25509.329999999998</v>
      </c>
      <c r="F15" s="406">
        <v>5347.46</v>
      </c>
      <c r="G15" s="503">
        <f t="shared" si="1"/>
        <v>25509.329999999998</v>
      </c>
      <c r="H15" s="503">
        <f t="shared" si="2"/>
        <v>0</v>
      </c>
      <c r="I15" s="504"/>
    </row>
    <row r="16" spans="1:9" s="330" customFormat="1" ht="12.75" customHeight="1" x14ac:dyDescent="0.25">
      <c r="A16" s="499"/>
      <c r="B16" s="500"/>
      <c r="C16" s="501"/>
      <c r="D16" s="502"/>
      <c r="E16" s="502">
        <f t="shared" si="0"/>
        <v>25509.329999999998</v>
      </c>
      <c r="F16" s="406"/>
      <c r="G16" s="503">
        <f t="shared" si="1"/>
        <v>25509.329999999998</v>
      </c>
      <c r="H16" s="503">
        <f t="shared" si="2"/>
        <v>0</v>
      </c>
      <c r="I16" s="504"/>
    </row>
    <row r="17" spans="1:9" s="330" customFormat="1" ht="12.75" customHeight="1" x14ac:dyDescent="0.25">
      <c r="A17" s="499"/>
      <c r="B17" s="500"/>
      <c r="C17" s="501"/>
      <c r="D17" s="502"/>
      <c r="E17" s="502">
        <f t="shared" si="0"/>
        <v>25509.329999999998</v>
      </c>
      <c r="F17" s="406"/>
      <c r="G17" s="503">
        <f t="shared" si="1"/>
        <v>25509.329999999998</v>
      </c>
      <c r="H17" s="503">
        <f t="shared" si="2"/>
        <v>0</v>
      </c>
      <c r="I17" s="504"/>
    </row>
    <row r="18" spans="1:9" s="330" customFormat="1" ht="12.75" customHeight="1" x14ac:dyDescent="0.25">
      <c r="A18" s="499"/>
      <c r="B18" s="500"/>
      <c r="C18" s="501"/>
      <c r="D18" s="502"/>
      <c r="E18" s="502">
        <f t="shared" si="0"/>
        <v>25509.329999999998</v>
      </c>
      <c r="F18" s="406"/>
      <c r="G18" s="503">
        <f t="shared" si="1"/>
        <v>25509.329999999998</v>
      </c>
      <c r="H18" s="503">
        <f t="shared" si="2"/>
        <v>0</v>
      </c>
      <c r="I18" s="504"/>
    </row>
    <row r="19" spans="1:9" s="330" customFormat="1" ht="12.75" customHeight="1" x14ac:dyDescent="0.25">
      <c r="A19" s="499"/>
      <c r="B19" s="500"/>
      <c r="C19" s="501"/>
      <c r="D19" s="502"/>
      <c r="E19" s="502">
        <f t="shared" si="0"/>
        <v>25509.329999999998</v>
      </c>
      <c r="F19" s="503"/>
      <c r="G19" s="503">
        <f t="shared" si="1"/>
        <v>25509.329999999998</v>
      </c>
      <c r="H19" s="503">
        <f t="shared" si="2"/>
        <v>0</v>
      </c>
      <c r="I19" s="504"/>
    </row>
    <row r="20" spans="1:9" s="330" customFormat="1" ht="12.75" customHeight="1" x14ac:dyDescent="0.25">
      <c r="A20" s="499"/>
      <c r="B20" s="500"/>
      <c r="C20" s="501"/>
      <c r="D20" s="502"/>
      <c r="E20" s="502">
        <f t="shared" si="0"/>
        <v>25509.329999999998</v>
      </c>
      <c r="F20" s="503"/>
      <c r="G20" s="503">
        <f t="shared" si="1"/>
        <v>25509.329999999998</v>
      </c>
      <c r="H20" s="503">
        <f t="shared" si="2"/>
        <v>0</v>
      </c>
      <c r="I20" s="504"/>
    </row>
    <row r="21" spans="1:9" s="330" customFormat="1" ht="12.75" customHeight="1" x14ac:dyDescent="0.25">
      <c r="A21" s="499"/>
      <c r="B21" s="500"/>
      <c r="C21" s="514"/>
      <c r="D21" s="502"/>
      <c r="E21" s="502">
        <f t="shared" si="0"/>
        <v>25509.329999999998</v>
      </c>
      <c r="F21" s="503"/>
      <c r="G21" s="503">
        <f t="shared" si="1"/>
        <v>25509.329999999998</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25509.329999999998</v>
      </c>
      <c r="E23" s="405"/>
      <c r="F23" s="405">
        <f>SUM(F9:F22)</f>
        <v>25509.329999999998</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192</v>
      </c>
      <c r="D26" s="503">
        <f>22726.8-117.47</f>
        <v>22609.329999999998</v>
      </c>
      <c r="E26" s="503"/>
      <c r="F26" s="503">
        <f>3128.55+8356.73+3452.75+2323.84+5347.46</f>
        <v>22609.329999999998</v>
      </c>
      <c r="G26" s="503"/>
      <c r="H26" s="503">
        <f>D26-F26</f>
        <v>0</v>
      </c>
      <c r="I26" s="504"/>
    </row>
    <row r="27" spans="1:9" s="330" customFormat="1" ht="12.75" customHeight="1" x14ac:dyDescent="0.25">
      <c r="A27" s="499"/>
      <c r="B27" s="501"/>
      <c r="C27" s="515" t="s">
        <v>781</v>
      </c>
      <c r="D27" s="503">
        <f>3750-850</f>
        <v>2900</v>
      </c>
      <c r="E27" s="503"/>
      <c r="F27" s="503">
        <f>2900</f>
        <v>2900</v>
      </c>
      <c r="G27" s="503"/>
      <c r="H27" s="503">
        <f>D27-F27</f>
        <v>0</v>
      </c>
      <c r="I27" s="504"/>
    </row>
    <row r="28" spans="1:9" s="330" customFormat="1" ht="12.75" customHeight="1" x14ac:dyDescent="0.25">
      <c r="A28" s="499"/>
      <c r="B28" s="501"/>
      <c r="C28" s="515" t="s">
        <v>782</v>
      </c>
      <c r="D28" s="503">
        <f>300-300</f>
        <v>0</v>
      </c>
      <c r="E28" s="503"/>
      <c r="F28" s="503"/>
      <c r="G28" s="503"/>
      <c r="H28" s="503">
        <f>D28-F28</f>
        <v>0</v>
      </c>
      <c r="I28" s="504"/>
    </row>
    <row r="29" spans="1:9" s="330" customFormat="1" ht="12.75" customHeight="1" thickBot="1" x14ac:dyDescent="0.3">
      <c r="A29" s="499"/>
      <c r="B29" s="501"/>
      <c r="C29" s="519" t="s">
        <v>555</v>
      </c>
      <c r="D29" s="405">
        <f>SUM(D26:D28)</f>
        <v>25509.329999999998</v>
      </c>
      <c r="E29" s="519"/>
      <c r="F29" s="405">
        <f>SUM(F26:F28)</f>
        <v>25509.329999999998</v>
      </c>
      <c r="G29" s="519"/>
      <c r="H29" s="405">
        <f>SUM(H26:H28)</f>
        <v>0</v>
      </c>
      <c r="I29" s="504"/>
    </row>
    <row r="30" spans="1:9" s="330" customFormat="1" ht="12.75" customHeight="1" thickTop="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row r="153" s="330" customFormat="1" ht="12.75" customHeight="1" x14ac:dyDescent="0.25"/>
    <row r="154" s="330" customFormat="1" ht="12.75" customHeight="1" x14ac:dyDescent="0.25"/>
    <row r="155" s="330" customFormat="1" ht="12.75" customHeight="1" x14ac:dyDescent="0.25"/>
    <row r="156" s="330" customFormat="1" ht="12.75" customHeight="1" x14ac:dyDescent="0.25"/>
    <row r="157" s="330" customFormat="1" ht="12.75" customHeight="1" x14ac:dyDescent="0.25"/>
    <row r="158" s="330" customFormat="1" ht="12.75" customHeight="1" x14ac:dyDescent="0.25"/>
    <row r="159"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5A83-B406-4158-9F3B-EBCF9C108D30}">
  <sheetPr codeName="Sheet22">
    <pageSetUpPr fitToPage="1"/>
  </sheetPr>
  <dimension ref="A1:N6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12.5703125"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1198</v>
      </c>
      <c r="B4" s="126"/>
      <c r="C4" s="127"/>
      <c r="D4" s="128" t="s">
        <v>1199</v>
      </c>
      <c r="E4" s="124"/>
      <c r="F4" s="124"/>
      <c r="G4" s="124"/>
      <c r="H4" s="125"/>
      <c r="I4" s="125"/>
    </row>
    <row r="5" spans="1:9" ht="15.75" x14ac:dyDescent="0.25">
      <c r="A5" s="129" t="s">
        <v>109</v>
      </c>
      <c r="B5" s="130"/>
      <c r="C5" s="131"/>
      <c r="D5" s="132" t="s">
        <v>1196</v>
      </c>
      <c r="E5" s="133"/>
      <c r="F5" s="134"/>
      <c r="G5" s="134"/>
      <c r="H5" s="130"/>
      <c r="I5" s="125"/>
    </row>
    <row r="6" spans="1:9" ht="15.75" x14ac:dyDescent="0.25">
      <c r="A6" s="86" t="str">
        <f>'RECAP #9239.03'!B6</f>
        <v>Project Manager - Brad T</v>
      </c>
      <c r="B6" s="86"/>
      <c r="C6" s="135"/>
      <c r="D6" s="136" t="s">
        <v>810</v>
      </c>
      <c r="E6" s="137"/>
      <c r="F6" s="138"/>
      <c r="G6" s="134"/>
      <c r="H6" s="130"/>
      <c r="I6" s="125"/>
    </row>
    <row r="7" spans="1:9" ht="15.75" x14ac:dyDescent="0.25">
      <c r="A7" s="125"/>
      <c r="B7" s="139"/>
      <c r="C7" s="139"/>
      <c r="D7" s="125" t="s">
        <v>1286</v>
      </c>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94" t="s">
        <v>261</v>
      </c>
    </row>
    <row r="9" spans="1:9" s="330" customFormat="1" ht="12.75" customHeight="1" x14ac:dyDescent="0.25">
      <c r="A9" s="408" t="s">
        <v>1200</v>
      </c>
      <c r="B9" s="409">
        <v>45954</v>
      </c>
      <c r="C9" s="410" t="s">
        <v>107</v>
      </c>
      <c r="D9" s="411">
        <v>52000</v>
      </c>
      <c r="E9" s="412">
        <f>D9</f>
        <v>52000</v>
      </c>
      <c r="F9" s="445"/>
      <c r="G9" s="413"/>
      <c r="H9" s="413">
        <f>E9</f>
        <v>52000</v>
      </c>
      <c r="I9" s="414"/>
    </row>
    <row r="10" spans="1:9" s="330" customFormat="1" ht="12.75" customHeight="1" x14ac:dyDescent="0.25">
      <c r="A10" s="408" t="s">
        <v>1416</v>
      </c>
      <c r="B10" s="409">
        <v>46007</v>
      </c>
      <c r="C10" s="410" t="s">
        <v>1534</v>
      </c>
      <c r="D10" s="412"/>
      <c r="E10" s="412">
        <f t="shared" ref="E10:E21" si="0">E9+D10</f>
        <v>52000</v>
      </c>
      <c r="F10" s="445">
        <v>16499.7</v>
      </c>
      <c r="G10" s="413">
        <f t="shared" ref="G10:G21" si="1">G9+F10</f>
        <v>16499.7</v>
      </c>
      <c r="H10" s="413">
        <f t="shared" ref="H10:H21" si="2">H9-F10+D10</f>
        <v>35500.300000000003</v>
      </c>
      <c r="I10" s="520">
        <v>510.3</v>
      </c>
    </row>
    <row r="11" spans="1:9" s="330" customFormat="1" ht="12.75" customHeight="1" x14ac:dyDescent="0.25">
      <c r="A11" s="408" t="s">
        <v>1200</v>
      </c>
      <c r="B11" s="409">
        <v>46043</v>
      </c>
      <c r="C11" s="410" t="s">
        <v>1535</v>
      </c>
      <c r="D11" s="411">
        <v>2303</v>
      </c>
      <c r="E11" s="412">
        <f t="shared" si="0"/>
        <v>54303</v>
      </c>
      <c r="F11" s="445"/>
      <c r="G11" s="413">
        <f t="shared" si="1"/>
        <v>16499.7</v>
      </c>
      <c r="H11" s="413">
        <f t="shared" si="2"/>
        <v>37803.300000000003</v>
      </c>
      <c r="I11" s="414"/>
    </row>
    <row r="12" spans="1:9" s="330" customFormat="1" ht="12.75" customHeight="1" x14ac:dyDescent="0.25">
      <c r="A12" s="408" t="s">
        <v>1532</v>
      </c>
      <c r="B12" s="409">
        <v>46051</v>
      </c>
      <c r="C12" s="410" t="s">
        <v>1533</v>
      </c>
      <c r="D12" s="412"/>
      <c r="E12" s="412">
        <f t="shared" si="0"/>
        <v>54303</v>
      </c>
      <c r="F12" s="445">
        <v>0</v>
      </c>
      <c r="G12" s="413">
        <f t="shared" si="1"/>
        <v>16499.7</v>
      </c>
      <c r="H12" s="413">
        <f t="shared" si="2"/>
        <v>37803.300000000003</v>
      </c>
      <c r="I12" s="520">
        <v>510.3</v>
      </c>
    </row>
    <row r="13" spans="1:9" s="330" customFormat="1" ht="12.75" customHeight="1" x14ac:dyDescent="0.25">
      <c r="A13" s="408" t="s">
        <v>1555</v>
      </c>
      <c r="B13" s="409">
        <v>46065</v>
      </c>
      <c r="C13" s="410" t="s">
        <v>1556</v>
      </c>
      <c r="D13" s="412"/>
      <c r="E13" s="412">
        <f t="shared" si="0"/>
        <v>54303</v>
      </c>
      <c r="F13" s="445">
        <v>0</v>
      </c>
      <c r="G13" s="413">
        <f t="shared" si="1"/>
        <v>16499.7</v>
      </c>
      <c r="H13" s="413">
        <f t="shared" si="2"/>
        <v>37803.300000000003</v>
      </c>
      <c r="I13" s="520">
        <v>510.3</v>
      </c>
    </row>
    <row r="14" spans="1:9" s="330" customFormat="1" ht="12.75" customHeight="1" x14ac:dyDescent="0.25">
      <c r="A14" s="408" t="s">
        <v>1659</v>
      </c>
      <c r="B14" s="409">
        <v>46087</v>
      </c>
      <c r="C14" s="410" t="s">
        <v>1660</v>
      </c>
      <c r="D14" s="412"/>
      <c r="E14" s="412">
        <f t="shared" si="0"/>
        <v>54303</v>
      </c>
      <c r="F14" s="445">
        <v>0</v>
      </c>
      <c r="G14" s="413">
        <f t="shared" si="1"/>
        <v>16499.7</v>
      </c>
      <c r="H14" s="413">
        <f t="shared" si="2"/>
        <v>37803.300000000003</v>
      </c>
      <c r="I14" s="520">
        <v>510.3</v>
      </c>
    </row>
    <row r="15" spans="1:9" s="330" customFormat="1" ht="12.75" customHeight="1" x14ac:dyDescent="0.25">
      <c r="A15" s="408" t="s">
        <v>1748</v>
      </c>
      <c r="B15" s="409">
        <v>46120</v>
      </c>
      <c r="C15" s="410" t="s">
        <v>1750</v>
      </c>
      <c r="D15" s="412"/>
      <c r="E15" s="412">
        <f t="shared" si="0"/>
        <v>54303</v>
      </c>
      <c r="F15" s="445">
        <v>31418.3</v>
      </c>
      <c r="G15" s="413">
        <f t="shared" si="1"/>
        <v>47918</v>
      </c>
      <c r="H15" s="413">
        <f t="shared" si="2"/>
        <v>6385.0000000000036</v>
      </c>
      <c r="I15" s="520">
        <f>I14+971.7</f>
        <v>1482</v>
      </c>
    </row>
    <row r="16" spans="1:9" s="330" customFormat="1" ht="12.75" customHeight="1" x14ac:dyDescent="0.25">
      <c r="A16" s="408"/>
      <c r="B16" s="409"/>
      <c r="C16" s="410"/>
      <c r="D16" s="412"/>
      <c r="E16" s="412">
        <f t="shared" si="0"/>
        <v>54303</v>
      </c>
      <c r="F16" s="422"/>
      <c r="G16" s="413">
        <f t="shared" si="1"/>
        <v>47918</v>
      </c>
      <c r="H16" s="413">
        <f t="shared" si="2"/>
        <v>6385.0000000000036</v>
      </c>
      <c r="I16" s="520"/>
    </row>
    <row r="17" spans="1:14" s="330" customFormat="1" ht="12.75" customHeight="1" x14ac:dyDescent="0.25">
      <c r="A17" s="408"/>
      <c r="B17" s="409"/>
      <c r="C17" s="410"/>
      <c r="D17" s="412"/>
      <c r="E17" s="412">
        <f t="shared" si="0"/>
        <v>54303</v>
      </c>
      <c r="F17" s="422"/>
      <c r="G17" s="413">
        <f t="shared" si="1"/>
        <v>47918</v>
      </c>
      <c r="H17" s="413">
        <f t="shared" si="2"/>
        <v>6385.0000000000036</v>
      </c>
      <c r="I17" s="520"/>
    </row>
    <row r="18" spans="1:14" s="330" customFormat="1" ht="12.75" customHeight="1" x14ac:dyDescent="0.25">
      <c r="A18" s="408"/>
      <c r="B18" s="409"/>
      <c r="C18" s="410"/>
      <c r="D18" s="412"/>
      <c r="E18" s="412">
        <f t="shared" si="0"/>
        <v>54303</v>
      </c>
      <c r="F18" s="422"/>
      <c r="G18" s="413">
        <f t="shared" si="1"/>
        <v>47918</v>
      </c>
      <c r="H18" s="413">
        <f t="shared" si="2"/>
        <v>6385.0000000000036</v>
      </c>
      <c r="I18" s="520"/>
    </row>
    <row r="19" spans="1:14" s="330" customFormat="1" ht="12.75" customHeight="1" x14ac:dyDescent="0.25">
      <c r="A19" s="408"/>
      <c r="B19" s="409"/>
      <c r="C19" s="410"/>
      <c r="D19" s="412"/>
      <c r="E19" s="412">
        <f t="shared" si="0"/>
        <v>54303</v>
      </c>
      <c r="F19" s="413"/>
      <c r="G19" s="413">
        <f t="shared" si="1"/>
        <v>47918</v>
      </c>
      <c r="H19" s="413">
        <f t="shared" si="2"/>
        <v>6385.0000000000036</v>
      </c>
      <c r="I19" s="520"/>
    </row>
    <row r="20" spans="1:14" s="330" customFormat="1" ht="12.75" customHeight="1" x14ac:dyDescent="0.25">
      <c r="A20" s="408"/>
      <c r="B20" s="409"/>
      <c r="C20" s="410"/>
      <c r="D20" s="412"/>
      <c r="E20" s="412">
        <f t="shared" si="0"/>
        <v>54303</v>
      </c>
      <c r="F20" s="413"/>
      <c r="G20" s="413">
        <f t="shared" si="1"/>
        <v>47918</v>
      </c>
      <c r="H20" s="413">
        <f t="shared" si="2"/>
        <v>6385.0000000000036</v>
      </c>
      <c r="I20" s="520"/>
    </row>
    <row r="21" spans="1:14" s="330" customFormat="1" ht="12.75" customHeight="1" x14ac:dyDescent="0.25">
      <c r="A21" s="408"/>
      <c r="B21" s="409"/>
      <c r="C21" s="423"/>
      <c r="D21" s="412"/>
      <c r="E21" s="412">
        <f t="shared" si="0"/>
        <v>54303</v>
      </c>
      <c r="F21" s="413"/>
      <c r="G21" s="413">
        <f t="shared" si="1"/>
        <v>47918</v>
      </c>
      <c r="H21" s="413">
        <f t="shared" si="2"/>
        <v>6385.0000000000036</v>
      </c>
      <c r="I21" s="520"/>
    </row>
    <row r="22" spans="1:14" s="330" customFormat="1" ht="12.75" customHeight="1" x14ac:dyDescent="0.25">
      <c r="A22" s="408"/>
      <c r="B22" s="410"/>
      <c r="C22" s="425"/>
      <c r="D22" s="413"/>
      <c r="E22" s="413"/>
      <c r="F22" s="413"/>
      <c r="G22" s="413"/>
      <c r="H22" s="413"/>
      <c r="I22" s="520"/>
      <c r="N22" s="482"/>
    </row>
    <row r="23" spans="1:14" s="330" customFormat="1" ht="12.75" customHeight="1" thickBot="1" x14ac:dyDescent="0.3">
      <c r="A23" s="408"/>
      <c r="B23" s="449"/>
      <c r="C23" s="450" t="s">
        <v>54</v>
      </c>
      <c r="D23" s="426">
        <f>SUM(D9:D22)</f>
        <v>54303</v>
      </c>
      <c r="E23" s="426"/>
      <c r="F23" s="426">
        <f>SUM(F9:F22)</f>
        <v>47918</v>
      </c>
      <c r="G23" s="426"/>
      <c r="H23" s="426">
        <f>D23-F23</f>
        <v>6385</v>
      </c>
      <c r="I23" s="491"/>
    </row>
    <row r="24" spans="1:14" s="330" customFormat="1" ht="12.75" customHeight="1" thickTop="1" x14ac:dyDescent="0.25">
      <c r="A24" s="408"/>
      <c r="B24" s="410"/>
      <c r="C24" s="425"/>
      <c r="D24" s="413"/>
      <c r="E24" s="413"/>
      <c r="F24" s="413"/>
      <c r="G24" s="413"/>
      <c r="H24" s="413"/>
      <c r="I24" s="414"/>
    </row>
    <row r="25" spans="1:14" s="330" customFormat="1" ht="12.75" customHeight="1" x14ac:dyDescent="0.25">
      <c r="A25" s="408"/>
      <c r="B25" s="410"/>
      <c r="C25" s="425"/>
      <c r="D25" s="413"/>
      <c r="E25" s="413"/>
      <c r="F25" s="413"/>
      <c r="G25" s="413"/>
      <c r="H25" s="413"/>
      <c r="I25" s="414"/>
    </row>
    <row r="26" spans="1:14" s="330" customFormat="1" ht="12.75" customHeight="1" x14ac:dyDescent="0.25">
      <c r="A26" s="408"/>
      <c r="B26" s="410"/>
      <c r="C26" s="425" t="s">
        <v>1285</v>
      </c>
      <c r="D26" s="413">
        <f>'#9239.02 Proctor Mechanical'!D23</f>
        <v>868592.29</v>
      </c>
      <c r="E26" s="413"/>
      <c r="F26" s="413">
        <f>'#9239.02 Proctor Mechanical'!F23</f>
        <v>269410.65000000002</v>
      </c>
      <c r="G26" s="413"/>
      <c r="H26" s="413">
        <f>D26-F26</f>
        <v>599181.64</v>
      </c>
      <c r="I26" s="414"/>
    </row>
    <row r="27" spans="1:14" s="330" customFormat="1" ht="12.75" customHeight="1" thickBot="1" x14ac:dyDescent="0.3">
      <c r="A27" s="408"/>
      <c r="B27" s="410"/>
      <c r="C27" s="424" t="s">
        <v>555</v>
      </c>
      <c r="D27" s="426">
        <f>SUM(D23:D26)</f>
        <v>922895.29</v>
      </c>
      <c r="E27" s="427"/>
      <c r="F27" s="426">
        <f>SUM(F23:F26)</f>
        <v>317328.65000000002</v>
      </c>
      <c r="G27" s="427"/>
      <c r="H27" s="426">
        <f>SUM(H23:H26)</f>
        <v>605566.64</v>
      </c>
      <c r="I27" s="414"/>
    </row>
    <row r="28" spans="1:14" s="330" customFormat="1" ht="12.75" customHeight="1" thickTop="1" x14ac:dyDescent="0.25"/>
    <row r="29" spans="1:14" s="330" customFormat="1" ht="12.75" customHeight="1" x14ac:dyDescent="0.25"/>
    <row r="30" spans="1:14" s="330" customFormat="1" ht="12.75" customHeight="1" x14ac:dyDescent="0.25">
      <c r="A30" s="361" t="s">
        <v>1417</v>
      </c>
    </row>
    <row r="31" spans="1:14" s="330" customFormat="1" ht="12.75" customHeight="1" x14ac:dyDescent="0.25"/>
    <row r="32" spans="1:14"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0EEF-FBD9-4041-994A-74137DEC43CF}">
  <sheetPr codeName="Sheet23">
    <pageSetUpPr fitToPage="1"/>
  </sheetPr>
  <dimension ref="A1:J3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5.5703125" customWidth="1"/>
    <col min="9" max="9" width="12.140625" customWidth="1"/>
  </cols>
  <sheetData>
    <row r="1" spans="1:10" ht="15.75" x14ac:dyDescent="0.25">
      <c r="A1" s="78" t="str">
        <f>'RECAP #9239.03'!B1</f>
        <v>DOC-NCF-IPI Homes or Iowa Facility Project Fencing - Phase II</v>
      </c>
      <c r="B1" s="79"/>
      <c r="C1" s="6"/>
      <c r="D1" s="6"/>
      <c r="E1" s="6"/>
      <c r="F1" s="124"/>
      <c r="G1" s="124"/>
      <c r="H1" s="125"/>
      <c r="I1" s="125"/>
    </row>
    <row r="2" spans="1:10" ht="15.75" x14ac:dyDescent="0.25">
      <c r="A2" s="81" t="str">
        <f>'RECAP #9239.03'!B2</f>
        <v>Project # 9239.03</v>
      </c>
      <c r="B2" s="80"/>
      <c r="C2" s="6"/>
      <c r="D2" s="6"/>
      <c r="E2" s="6"/>
      <c r="F2" s="124"/>
      <c r="G2" s="124"/>
      <c r="H2" s="125"/>
      <c r="I2" s="125"/>
    </row>
    <row r="3" spans="1:10" ht="15.75" x14ac:dyDescent="0.25">
      <c r="A3" s="82" t="str">
        <f>'RECAP #9239.03'!B3</f>
        <v>Program code 923903</v>
      </c>
      <c r="B3" s="80"/>
      <c r="C3" s="6"/>
      <c r="D3" s="83" t="str">
        <f>'RECAP #9239.03'!E3</f>
        <v>Major Program 4B01</v>
      </c>
      <c r="E3" s="6"/>
      <c r="F3" s="124"/>
      <c r="G3" s="124"/>
      <c r="H3" s="125"/>
      <c r="I3" s="125"/>
    </row>
    <row r="4" spans="1:10" ht="15.75" x14ac:dyDescent="0.25">
      <c r="A4" s="109" t="s">
        <v>1249</v>
      </c>
      <c r="B4" s="126"/>
      <c r="C4" s="127"/>
      <c r="D4" s="128" t="s">
        <v>1250</v>
      </c>
      <c r="E4" s="124"/>
      <c r="F4" s="124"/>
      <c r="G4" s="124"/>
      <c r="H4" s="125"/>
      <c r="I4" s="125"/>
    </row>
    <row r="5" spans="1:10" ht="15.75" x14ac:dyDescent="0.25">
      <c r="A5" s="129" t="s">
        <v>109</v>
      </c>
      <c r="B5" s="130"/>
      <c r="C5" s="131"/>
      <c r="D5" s="132" t="s">
        <v>1251</v>
      </c>
      <c r="E5" s="133"/>
      <c r="F5" s="134"/>
      <c r="G5" s="134"/>
      <c r="H5" s="130"/>
      <c r="I5" s="125"/>
    </row>
    <row r="6" spans="1:10" ht="15.75" x14ac:dyDescent="0.25">
      <c r="A6" s="86" t="str">
        <f>'RECAP #9239.03'!B6</f>
        <v>Project Manager - Brad T</v>
      </c>
      <c r="B6" s="86"/>
      <c r="C6" s="135"/>
      <c r="D6" s="136" t="s">
        <v>810</v>
      </c>
      <c r="E6" s="137"/>
      <c r="F6" s="138"/>
      <c r="G6" s="134"/>
      <c r="H6" s="130"/>
      <c r="I6" s="125"/>
    </row>
    <row r="7" spans="1:10" ht="15.75" x14ac:dyDescent="0.25">
      <c r="A7" s="125"/>
      <c r="B7" s="139"/>
      <c r="C7" s="139"/>
      <c r="D7" s="125" t="s">
        <v>1286</v>
      </c>
      <c r="E7" s="138"/>
      <c r="F7" s="138"/>
      <c r="G7" s="134"/>
      <c r="H7" s="130"/>
      <c r="I7" s="125" t="s">
        <v>3</v>
      </c>
    </row>
    <row r="8" spans="1:10" ht="32.25" thickBot="1" x14ac:dyDescent="0.3">
      <c r="A8" s="140" t="s">
        <v>49</v>
      </c>
      <c r="B8" s="141" t="s">
        <v>4</v>
      </c>
      <c r="C8" s="142" t="s">
        <v>11</v>
      </c>
      <c r="D8" s="143" t="s">
        <v>50</v>
      </c>
      <c r="E8" s="143" t="s">
        <v>51</v>
      </c>
      <c r="F8" s="143" t="s">
        <v>52</v>
      </c>
      <c r="G8" s="143" t="s">
        <v>53</v>
      </c>
      <c r="H8" s="143" t="s">
        <v>12</v>
      </c>
      <c r="I8" s="194" t="s">
        <v>261</v>
      </c>
      <c r="J8" s="282"/>
    </row>
    <row r="9" spans="1:10" s="330" customFormat="1" ht="12.75" customHeight="1" x14ac:dyDescent="0.25">
      <c r="A9" s="408" t="s">
        <v>1252</v>
      </c>
      <c r="B9" s="409">
        <v>45954</v>
      </c>
      <c r="C9" s="410" t="s">
        <v>107</v>
      </c>
      <c r="D9" s="411">
        <v>238195</v>
      </c>
      <c r="E9" s="412">
        <f>D9</f>
        <v>238195</v>
      </c>
      <c r="F9" s="445"/>
      <c r="G9" s="413"/>
      <c r="H9" s="413">
        <f>E9</f>
        <v>238195</v>
      </c>
      <c r="I9" s="414"/>
    </row>
    <row r="10" spans="1:10" s="330" customFormat="1" ht="12.75" customHeight="1" x14ac:dyDescent="0.25">
      <c r="A10" s="408" t="s">
        <v>1252</v>
      </c>
      <c r="B10" s="409">
        <v>45975</v>
      </c>
      <c r="C10" s="410" t="s">
        <v>1470</v>
      </c>
      <c r="D10" s="411">
        <v>0</v>
      </c>
      <c r="E10" s="412">
        <f>E9+D10</f>
        <v>238195</v>
      </c>
      <c r="F10" s="445"/>
      <c r="G10" s="413">
        <f>G9+F10</f>
        <v>0</v>
      </c>
      <c r="H10" s="413">
        <f>H9-F10+D10</f>
        <v>238195</v>
      </c>
      <c r="I10" s="446"/>
    </row>
    <row r="11" spans="1:10" s="330" customFormat="1" ht="12.75" customHeight="1" x14ac:dyDescent="0.25">
      <c r="A11" s="408" t="s">
        <v>1441</v>
      </c>
      <c r="B11" s="409">
        <v>46020</v>
      </c>
      <c r="C11" s="410" t="s">
        <v>1443</v>
      </c>
      <c r="D11" s="412"/>
      <c r="E11" s="412">
        <f t="shared" ref="E11:E20" si="0">E10+D11</f>
        <v>238195</v>
      </c>
      <c r="F11" s="445">
        <v>172813.31</v>
      </c>
      <c r="G11" s="413">
        <f t="shared" ref="G11:G20" si="1">G10+F11</f>
        <v>172813.31</v>
      </c>
      <c r="H11" s="413">
        <f t="shared" ref="H11:H20" si="2">H10-F11+D11</f>
        <v>65381.69</v>
      </c>
      <c r="I11" s="446">
        <v>5344.74</v>
      </c>
    </row>
    <row r="12" spans="1:10" s="330" customFormat="1" ht="12.75" customHeight="1" x14ac:dyDescent="0.25">
      <c r="A12" s="408" t="s">
        <v>1252</v>
      </c>
      <c r="B12" s="409">
        <v>46031</v>
      </c>
      <c r="C12" s="410" t="s">
        <v>1471</v>
      </c>
      <c r="D12" s="411">
        <v>0</v>
      </c>
      <c r="E12" s="412">
        <f t="shared" si="0"/>
        <v>238195</v>
      </c>
      <c r="F12" s="445"/>
      <c r="G12" s="413">
        <f t="shared" si="1"/>
        <v>172813.31</v>
      </c>
      <c r="H12" s="413">
        <f t="shared" si="2"/>
        <v>65381.69</v>
      </c>
      <c r="I12" s="446"/>
    </row>
    <row r="13" spans="1:10" s="330" customFormat="1" ht="12.75" customHeight="1" x14ac:dyDescent="0.25">
      <c r="A13" s="408" t="s">
        <v>1252</v>
      </c>
      <c r="B13" s="409">
        <v>46125</v>
      </c>
      <c r="C13" s="410" t="s">
        <v>1770</v>
      </c>
      <c r="D13" s="411">
        <v>0</v>
      </c>
      <c r="E13" s="412">
        <f t="shared" si="0"/>
        <v>238195</v>
      </c>
      <c r="F13" s="445"/>
      <c r="G13" s="413">
        <f t="shared" si="1"/>
        <v>172813.31</v>
      </c>
      <c r="H13" s="413">
        <f t="shared" si="2"/>
        <v>65381.69</v>
      </c>
      <c r="I13" s="446"/>
    </row>
    <row r="14" spans="1:10" s="330" customFormat="1" ht="12.75" customHeight="1" x14ac:dyDescent="0.25">
      <c r="A14" s="408" t="s">
        <v>1793</v>
      </c>
      <c r="B14" s="409">
        <v>46134</v>
      </c>
      <c r="C14" s="410" t="s">
        <v>1795</v>
      </c>
      <c r="D14" s="412"/>
      <c r="E14" s="412">
        <f t="shared" si="0"/>
        <v>238195</v>
      </c>
      <c r="F14" s="445">
        <v>16296</v>
      </c>
      <c r="G14" s="413">
        <f t="shared" si="1"/>
        <v>189109.31</v>
      </c>
      <c r="H14" s="413">
        <f t="shared" si="2"/>
        <v>49085.69</v>
      </c>
      <c r="I14" s="446">
        <f>I11+504</f>
        <v>5848.74</v>
      </c>
    </row>
    <row r="15" spans="1:10" s="330" customFormat="1" ht="12.75" customHeight="1" x14ac:dyDescent="0.25">
      <c r="A15" s="408"/>
      <c r="B15" s="409"/>
      <c r="C15" s="410"/>
      <c r="D15" s="412"/>
      <c r="E15" s="412">
        <f t="shared" si="0"/>
        <v>238195</v>
      </c>
      <c r="F15" s="422"/>
      <c r="G15" s="413">
        <f t="shared" si="1"/>
        <v>189109.31</v>
      </c>
      <c r="H15" s="413">
        <f t="shared" si="2"/>
        <v>49085.69</v>
      </c>
      <c r="I15" s="446"/>
    </row>
    <row r="16" spans="1:10" s="330" customFormat="1" ht="12.75" customHeight="1" x14ac:dyDescent="0.25">
      <c r="A16" s="408"/>
      <c r="B16" s="409"/>
      <c r="C16" s="410"/>
      <c r="D16" s="412"/>
      <c r="E16" s="412">
        <f t="shared" si="0"/>
        <v>238195</v>
      </c>
      <c r="F16" s="422"/>
      <c r="G16" s="413">
        <f t="shared" si="1"/>
        <v>189109.31</v>
      </c>
      <c r="H16" s="413">
        <f t="shared" si="2"/>
        <v>49085.69</v>
      </c>
      <c r="I16" s="446"/>
    </row>
    <row r="17" spans="1:9" s="330" customFormat="1" ht="12.75" customHeight="1" x14ac:dyDescent="0.25">
      <c r="A17" s="408"/>
      <c r="B17" s="409"/>
      <c r="C17" s="410"/>
      <c r="D17" s="412"/>
      <c r="E17" s="412">
        <f t="shared" si="0"/>
        <v>238195</v>
      </c>
      <c r="F17" s="422"/>
      <c r="G17" s="413">
        <f t="shared" si="1"/>
        <v>189109.31</v>
      </c>
      <c r="H17" s="413">
        <f t="shared" si="2"/>
        <v>49085.69</v>
      </c>
      <c r="I17" s="446"/>
    </row>
    <row r="18" spans="1:9" s="330" customFormat="1" ht="12.75" customHeight="1" x14ac:dyDescent="0.25">
      <c r="A18" s="408"/>
      <c r="B18" s="409"/>
      <c r="C18" s="410"/>
      <c r="D18" s="412"/>
      <c r="E18" s="412">
        <f t="shared" si="0"/>
        <v>238195</v>
      </c>
      <c r="F18" s="413"/>
      <c r="G18" s="413">
        <f t="shared" si="1"/>
        <v>189109.31</v>
      </c>
      <c r="H18" s="413">
        <f t="shared" si="2"/>
        <v>49085.69</v>
      </c>
      <c r="I18" s="446"/>
    </row>
    <row r="19" spans="1:9" s="330" customFormat="1" ht="12.75" customHeight="1" x14ac:dyDescent="0.25">
      <c r="A19" s="408"/>
      <c r="B19" s="409"/>
      <c r="C19" s="410"/>
      <c r="D19" s="412"/>
      <c r="E19" s="412">
        <f t="shared" si="0"/>
        <v>238195</v>
      </c>
      <c r="F19" s="413"/>
      <c r="G19" s="413">
        <f t="shared" si="1"/>
        <v>189109.31</v>
      </c>
      <c r="H19" s="413">
        <f t="shared" si="2"/>
        <v>49085.69</v>
      </c>
      <c r="I19" s="446"/>
    </row>
    <row r="20" spans="1:9" s="330" customFormat="1" ht="12.75" customHeight="1" x14ac:dyDescent="0.25">
      <c r="A20" s="408"/>
      <c r="B20" s="409"/>
      <c r="C20" s="423"/>
      <c r="D20" s="412"/>
      <c r="E20" s="412">
        <f t="shared" si="0"/>
        <v>238195</v>
      </c>
      <c r="F20" s="413"/>
      <c r="G20" s="413">
        <f t="shared" si="1"/>
        <v>189109.31</v>
      </c>
      <c r="H20" s="413">
        <f t="shared" si="2"/>
        <v>49085.69</v>
      </c>
      <c r="I20" s="414"/>
    </row>
    <row r="21" spans="1:9" s="330" customFormat="1" ht="12.75" customHeight="1" x14ac:dyDescent="0.25">
      <c r="A21" s="408"/>
      <c r="B21" s="410"/>
      <c r="C21" s="425"/>
      <c r="D21" s="413"/>
      <c r="E21" s="413"/>
      <c r="F21" s="413"/>
      <c r="G21" s="413"/>
      <c r="H21" s="413"/>
      <c r="I21" s="414"/>
    </row>
    <row r="22" spans="1:9" s="330" customFormat="1" ht="12.75" customHeight="1" thickBot="1" x14ac:dyDescent="0.3">
      <c r="A22" s="408"/>
      <c r="B22" s="449"/>
      <c r="C22" s="450" t="s">
        <v>54</v>
      </c>
      <c r="D22" s="426">
        <f>SUM(D9:D21)</f>
        <v>238195</v>
      </c>
      <c r="E22" s="426"/>
      <c r="F22" s="426">
        <f>SUM(F9:F21)</f>
        <v>189109.31</v>
      </c>
      <c r="G22" s="426"/>
      <c r="H22" s="426">
        <f>D22-F22</f>
        <v>49085.69</v>
      </c>
      <c r="I22" s="414"/>
    </row>
    <row r="23" spans="1:9" s="330" customFormat="1" ht="12.75" customHeight="1" thickTop="1" x14ac:dyDescent="0.25">
      <c r="A23" s="408"/>
      <c r="B23" s="410"/>
      <c r="C23" s="425"/>
      <c r="D23" s="413"/>
      <c r="E23" s="413"/>
      <c r="F23" s="413"/>
      <c r="G23" s="413"/>
      <c r="H23" s="413"/>
      <c r="I23" s="414"/>
    </row>
    <row r="24" spans="1:9" s="330" customFormat="1" ht="12.75" customHeight="1" x14ac:dyDescent="0.25">
      <c r="A24" s="408"/>
      <c r="B24" s="410"/>
      <c r="C24" s="425"/>
      <c r="D24" s="413"/>
      <c r="E24" s="413"/>
      <c r="F24" s="413"/>
      <c r="G24" s="413"/>
      <c r="H24" s="413"/>
      <c r="I24" s="414"/>
    </row>
    <row r="25" spans="1:9" s="330" customFormat="1" ht="12.75" customHeight="1" x14ac:dyDescent="0.25">
      <c r="A25" s="408"/>
      <c r="B25" s="410"/>
      <c r="C25" s="425" t="s">
        <v>1285</v>
      </c>
      <c r="D25" s="413">
        <f>'#9239.02 Con-Struct Inc'!D23</f>
        <v>524703.68999999994</v>
      </c>
      <c r="E25" s="413"/>
      <c r="F25" s="413">
        <f>'#9239.02 Con-Struct Inc'!F23</f>
        <v>410253.79000000004</v>
      </c>
      <c r="G25" s="413"/>
      <c r="H25" s="413">
        <f>D25-F25</f>
        <v>114449.89999999991</v>
      </c>
      <c r="I25" s="414"/>
    </row>
    <row r="26" spans="1:9" s="330" customFormat="1" ht="12.75" customHeight="1" thickBot="1" x14ac:dyDescent="0.3">
      <c r="A26" s="408"/>
      <c r="B26" s="410"/>
      <c r="C26" s="424" t="s">
        <v>555</v>
      </c>
      <c r="D26" s="426">
        <f>SUM(D22:D25)</f>
        <v>762898.69</v>
      </c>
      <c r="E26" s="427"/>
      <c r="F26" s="426">
        <f>SUM(F22:F25)</f>
        <v>599363.10000000009</v>
      </c>
      <c r="G26" s="427"/>
      <c r="H26" s="426">
        <f>SUM(H22:H25)</f>
        <v>163535.58999999991</v>
      </c>
      <c r="I26" s="414"/>
    </row>
    <row r="27" spans="1:9" s="330" customFormat="1" ht="12.75" customHeight="1" thickTop="1" x14ac:dyDescent="0.25"/>
    <row r="28" spans="1:9" s="330" customFormat="1" ht="12.75" customHeight="1" x14ac:dyDescent="0.25"/>
    <row r="29" spans="1:9" s="330" customFormat="1" ht="12.75" customHeight="1" x14ac:dyDescent="0.25">
      <c r="A29" s="361" t="s">
        <v>1417</v>
      </c>
    </row>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ACEB-0098-40BD-BAD1-8C6561D70791}">
  <sheetPr codeName="Sheet24">
    <pageSetUpPr fitToPage="1"/>
  </sheetPr>
  <dimension ref="A1:I37"/>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0"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779</v>
      </c>
      <c r="B4" s="126"/>
      <c r="C4" s="127"/>
      <c r="D4" s="128" t="s">
        <v>482</v>
      </c>
      <c r="E4" s="124"/>
      <c r="F4" s="124"/>
      <c r="G4" s="124"/>
      <c r="H4" s="125"/>
      <c r="I4" s="125"/>
    </row>
    <row r="5" spans="1:9" ht="15.75" x14ac:dyDescent="0.25">
      <c r="A5" s="129" t="s">
        <v>109</v>
      </c>
      <c r="B5" s="130"/>
      <c r="C5" s="131"/>
      <c r="D5" s="132" t="s">
        <v>483</v>
      </c>
      <c r="E5" s="133"/>
      <c r="F5" s="134"/>
      <c r="G5" s="134"/>
      <c r="H5" s="130"/>
      <c r="I5" s="125"/>
    </row>
    <row r="6" spans="1:9" ht="15.75" x14ac:dyDescent="0.25">
      <c r="A6" s="86" t="str">
        <f>'RECAP #9239.03'!B6</f>
        <v>Project Manager - Brad T</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1283</v>
      </c>
      <c r="B9" s="409">
        <v>45954</v>
      </c>
      <c r="C9" s="410" t="s">
        <v>107</v>
      </c>
      <c r="D9" s="411">
        <v>41769.93</v>
      </c>
      <c r="E9" s="412">
        <f>D9</f>
        <v>41769.93</v>
      </c>
      <c r="F9" s="445"/>
      <c r="G9" s="413"/>
      <c r="H9" s="413">
        <f>E9</f>
        <v>41769.93</v>
      </c>
      <c r="I9" s="414"/>
    </row>
    <row r="10" spans="1:9" s="330" customFormat="1" ht="12.75" customHeight="1" x14ac:dyDescent="0.25">
      <c r="A10" s="408" t="s">
        <v>1381</v>
      </c>
      <c r="B10" s="240">
        <v>45995</v>
      </c>
      <c r="C10" s="410" t="s">
        <v>1382</v>
      </c>
      <c r="D10" s="412"/>
      <c r="E10" s="412">
        <f t="shared" ref="E10:E21" si="0">E9+D10</f>
        <v>41769.93</v>
      </c>
      <c r="F10" s="445">
        <v>5668.48</v>
      </c>
      <c r="G10" s="413">
        <f t="shared" ref="G10:G21" si="1">G9+F10</f>
        <v>5668.48</v>
      </c>
      <c r="H10" s="413">
        <f t="shared" ref="H10:H21" si="2">H9-F10+D10</f>
        <v>36101.449999999997</v>
      </c>
      <c r="I10" s="448"/>
    </row>
    <row r="11" spans="1:9" s="330" customFormat="1" ht="12.75" customHeight="1" x14ac:dyDescent="0.25">
      <c r="A11" s="408" t="s">
        <v>1476</v>
      </c>
      <c r="B11" s="409">
        <v>46031</v>
      </c>
      <c r="C11" s="410" t="s">
        <v>1477</v>
      </c>
      <c r="D11" s="411"/>
      <c r="E11" s="412">
        <f t="shared" si="0"/>
        <v>41769.93</v>
      </c>
      <c r="F11" s="445">
        <v>3563.26</v>
      </c>
      <c r="G11" s="413">
        <f t="shared" si="1"/>
        <v>9231.74</v>
      </c>
      <c r="H11" s="413">
        <f t="shared" si="2"/>
        <v>32538.189999999995</v>
      </c>
      <c r="I11" s="414"/>
    </row>
    <row r="12" spans="1:9" s="330" customFormat="1" ht="12.75" customHeight="1" x14ac:dyDescent="0.25">
      <c r="A12" s="408" t="s">
        <v>1539</v>
      </c>
      <c r="B12" s="409">
        <v>46056</v>
      </c>
      <c r="C12" s="410" t="s">
        <v>1540</v>
      </c>
      <c r="D12" s="412"/>
      <c r="E12" s="412">
        <f t="shared" si="0"/>
        <v>41769.93</v>
      </c>
      <c r="F12" s="445">
        <v>4515.16</v>
      </c>
      <c r="G12" s="413">
        <f t="shared" si="1"/>
        <v>13746.9</v>
      </c>
      <c r="H12" s="413">
        <f t="shared" si="2"/>
        <v>28023.029999999995</v>
      </c>
      <c r="I12" s="414"/>
    </row>
    <row r="13" spans="1:9" s="330" customFormat="1" ht="12.75" customHeight="1" x14ac:dyDescent="0.25">
      <c r="A13" s="408" t="s">
        <v>1644</v>
      </c>
      <c r="B13" s="409">
        <v>46084</v>
      </c>
      <c r="C13" s="410" t="s">
        <v>1645</v>
      </c>
      <c r="D13" s="412"/>
      <c r="E13" s="412">
        <f t="shared" si="0"/>
        <v>41769.93</v>
      </c>
      <c r="F13" s="445">
        <v>3116.54</v>
      </c>
      <c r="G13" s="413">
        <f t="shared" si="1"/>
        <v>16863.439999999999</v>
      </c>
      <c r="H13" s="413">
        <f t="shared" si="2"/>
        <v>24906.489999999994</v>
      </c>
      <c r="I13" s="414"/>
    </row>
    <row r="14" spans="1:9" s="330" customFormat="1" ht="12.75" customHeight="1" x14ac:dyDescent="0.25">
      <c r="A14" s="408" t="s">
        <v>1742</v>
      </c>
      <c r="B14" s="409">
        <v>46119</v>
      </c>
      <c r="C14" s="410" t="s">
        <v>1743</v>
      </c>
      <c r="D14" s="412"/>
      <c r="E14" s="412">
        <f t="shared" si="0"/>
        <v>41769.93</v>
      </c>
      <c r="F14" s="445">
        <v>12633.36</v>
      </c>
      <c r="G14" s="413">
        <f t="shared" si="1"/>
        <v>29496.799999999999</v>
      </c>
      <c r="H14" s="413">
        <f t="shared" si="2"/>
        <v>12273.129999999994</v>
      </c>
      <c r="I14" s="414"/>
    </row>
    <row r="15" spans="1:9" s="330" customFormat="1" ht="12.75" customHeight="1" x14ac:dyDescent="0.25">
      <c r="A15" s="408"/>
      <c r="B15" s="409"/>
      <c r="C15" s="410"/>
      <c r="D15" s="412"/>
      <c r="E15" s="412">
        <f t="shared" si="0"/>
        <v>41769.93</v>
      </c>
      <c r="F15" s="422"/>
      <c r="G15" s="413">
        <f t="shared" si="1"/>
        <v>29496.799999999999</v>
      </c>
      <c r="H15" s="413">
        <f t="shared" si="2"/>
        <v>12273.129999999994</v>
      </c>
      <c r="I15" s="414"/>
    </row>
    <row r="16" spans="1:9" s="330" customFormat="1" ht="12.75" customHeight="1" x14ac:dyDescent="0.25">
      <c r="A16" s="408"/>
      <c r="B16" s="409"/>
      <c r="C16" s="410"/>
      <c r="D16" s="412"/>
      <c r="E16" s="412">
        <f t="shared" si="0"/>
        <v>41769.93</v>
      </c>
      <c r="F16" s="422"/>
      <c r="G16" s="413">
        <f t="shared" si="1"/>
        <v>29496.799999999999</v>
      </c>
      <c r="H16" s="413">
        <f t="shared" si="2"/>
        <v>12273.129999999994</v>
      </c>
      <c r="I16" s="414"/>
    </row>
    <row r="17" spans="1:9" s="330" customFormat="1" ht="12.75" customHeight="1" x14ac:dyDescent="0.25">
      <c r="A17" s="408"/>
      <c r="B17" s="409"/>
      <c r="C17" s="410"/>
      <c r="D17" s="412"/>
      <c r="E17" s="412">
        <f t="shared" si="0"/>
        <v>41769.93</v>
      </c>
      <c r="F17" s="422"/>
      <c r="G17" s="413">
        <f t="shared" si="1"/>
        <v>29496.799999999999</v>
      </c>
      <c r="H17" s="413">
        <f t="shared" si="2"/>
        <v>12273.129999999994</v>
      </c>
      <c r="I17" s="414"/>
    </row>
    <row r="18" spans="1:9" s="330" customFormat="1" ht="12.75" customHeight="1" x14ac:dyDescent="0.25">
      <c r="A18" s="408"/>
      <c r="B18" s="409"/>
      <c r="C18" s="410"/>
      <c r="D18" s="412"/>
      <c r="E18" s="412">
        <f t="shared" si="0"/>
        <v>41769.93</v>
      </c>
      <c r="F18" s="422"/>
      <c r="G18" s="413">
        <f t="shared" si="1"/>
        <v>29496.799999999999</v>
      </c>
      <c r="H18" s="413">
        <f t="shared" si="2"/>
        <v>12273.129999999994</v>
      </c>
      <c r="I18" s="414"/>
    </row>
    <row r="19" spans="1:9" s="330" customFormat="1" ht="12.75" customHeight="1" x14ac:dyDescent="0.25">
      <c r="A19" s="408"/>
      <c r="B19" s="409"/>
      <c r="C19" s="410"/>
      <c r="D19" s="412"/>
      <c r="E19" s="412">
        <f t="shared" si="0"/>
        <v>41769.93</v>
      </c>
      <c r="F19" s="413"/>
      <c r="G19" s="413">
        <f t="shared" si="1"/>
        <v>29496.799999999999</v>
      </c>
      <c r="H19" s="413">
        <f t="shared" si="2"/>
        <v>12273.129999999994</v>
      </c>
      <c r="I19" s="414"/>
    </row>
    <row r="20" spans="1:9" s="330" customFormat="1" ht="12.75" customHeight="1" x14ac:dyDescent="0.25">
      <c r="A20" s="408"/>
      <c r="B20" s="409"/>
      <c r="C20" s="410"/>
      <c r="D20" s="412"/>
      <c r="E20" s="412">
        <f t="shared" si="0"/>
        <v>41769.93</v>
      </c>
      <c r="F20" s="413"/>
      <c r="G20" s="413">
        <f t="shared" si="1"/>
        <v>29496.799999999999</v>
      </c>
      <c r="H20" s="413">
        <f t="shared" si="2"/>
        <v>12273.129999999994</v>
      </c>
      <c r="I20" s="414"/>
    </row>
    <row r="21" spans="1:9" s="330" customFormat="1" ht="12.75" customHeight="1" x14ac:dyDescent="0.25">
      <c r="A21" s="408"/>
      <c r="B21" s="409"/>
      <c r="C21" s="423"/>
      <c r="D21" s="412"/>
      <c r="E21" s="412">
        <f t="shared" si="0"/>
        <v>41769.93</v>
      </c>
      <c r="F21" s="413"/>
      <c r="G21" s="413">
        <f t="shared" si="1"/>
        <v>29496.799999999999</v>
      </c>
      <c r="H21" s="413">
        <f t="shared" si="2"/>
        <v>12273.129999999994</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41769.93</v>
      </c>
      <c r="E23" s="426"/>
      <c r="F23" s="426">
        <f>SUM(F9:F22)</f>
        <v>29496.799999999999</v>
      </c>
      <c r="G23" s="426"/>
      <c r="H23" s="426">
        <f>D23-F23</f>
        <v>12273.130000000001</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192</v>
      </c>
      <c r="D26" s="413">
        <v>40269.93</v>
      </c>
      <c r="E26" s="413"/>
      <c r="F26" s="413">
        <f>5448.48+3563.26+4515.16+3116.54+12543.36</f>
        <v>29186.799999999999</v>
      </c>
      <c r="G26" s="413"/>
      <c r="H26" s="413">
        <f>D26-F26</f>
        <v>11083.130000000001</v>
      </c>
      <c r="I26" s="414"/>
    </row>
    <row r="27" spans="1:9" s="330" customFormat="1" ht="12.75" customHeight="1" x14ac:dyDescent="0.25">
      <c r="A27" s="408"/>
      <c r="B27" s="410"/>
      <c r="C27" s="425" t="s">
        <v>118</v>
      </c>
      <c r="D27" s="413">
        <v>1500</v>
      </c>
      <c r="E27" s="413"/>
      <c r="F27" s="413">
        <f>220+90</f>
        <v>310</v>
      </c>
      <c r="G27" s="413"/>
      <c r="H27" s="413">
        <f>D27-F27</f>
        <v>1190</v>
      </c>
      <c r="I27" s="414"/>
    </row>
    <row r="28" spans="1:9" s="330" customFormat="1" ht="12.75" customHeight="1" thickBot="1" x14ac:dyDescent="0.3">
      <c r="A28" s="408"/>
      <c r="B28" s="410"/>
      <c r="C28" s="424" t="s">
        <v>555</v>
      </c>
      <c r="D28" s="426">
        <f>SUM(D26:D27)</f>
        <v>41769.93</v>
      </c>
      <c r="E28" s="427"/>
      <c r="F28" s="426">
        <f>SUM(F26:F27)</f>
        <v>29496.799999999999</v>
      </c>
      <c r="G28" s="427"/>
      <c r="H28" s="426">
        <f>SUM(H26:H27)</f>
        <v>12273.130000000001</v>
      </c>
      <c r="I28" s="41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sheetData>
  <pageMargins left="0.25" right="0.25" top="0.85" bottom="0.75" header="0.08" footer="0.3"/>
  <pageSetup scale="8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9B9-F3CE-426D-BDD1-80FED5C7483E}">
  <sheetPr codeName="Sheet25">
    <pageSetUpPr fitToPage="1"/>
  </sheetPr>
  <dimension ref="A1:I2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7.8554687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700</v>
      </c>
      <c r="B4" s="126"/>
      <c r="C4" s="127"/>
      <c r="D4" s="128" t="s">
        <v>704</v>
      </c>
      <c r="E4" s="124"/>
      <c r="F4" s="124"/>
      <c r="G4" s="124"/>
      <c r="H4" s="125"/>
      <c r="I4" s="125"/>
    </row>
    <row r="5" spans="1:9" ht="15.75" x14ac:dyDescent="0.25">
      <c r="A5" s="129" t="s">
        <v>109</v>
      </c>
      <c r="B5" s="130"/>
      <c r="C5" s="131"/>
      <c r="D5" s="132" t="s">
        <v>1316</v>
      </c>
      <c r="E5" s="133"/>
      <c r="F5" s="134"/>
      <c r="G5" s="134"/>
      <c r="H5" s="130"/>
      <c r="I5" s="125"/>
    </row>
    <row r="6" spans="1:9" ht="15.75" x14ac:dyDescent="0.25">
      <c r="A6" s="86" t="str">
        <f>'RECAP #9239.03'!B6</f>
        <v>Project Manager - Brad T</v>
      </c>
      <c r="B6" s="86"/>
      <c r="C6" s="135"/>
      <c r="D6" s="136" t="s">
        <v>202</v>
      </c>
      <c r="E6" s="137"/>
      <c r="F6" s="138"/>
      <c r="G6" s="134"/>
      <c r="H6" s="130"/>
      <c r="I6" s="125"/>
    </row>
    <row r="7" spans="1:9" ht="15.75" x14ac:dyDescent="0.25">
      <c r="A7" s="125"/>
      <c r="B7" s="139"/>
      <c r="C7" s="139"/>
      <c r="D7" s="125" t="s">
        <v>1401</v>
      </c>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1317</v>
      </c>
      <c r="B9" s="409">
        <v>45967</v>
      </c>
      <c r="C9" s="410" t="s">
        <v>703</v>
      </c>
      <c r="D9" s="411">
        <v>19500</v>
      </c>
      <c r="E9" s="412">
        <f>D9</f>
        <v>19500</v>
      </c>
      <c r="F9" s="445"/>
      <c r="G9" s="413"/>
      <c r="H9" s="413">
        <f>E9</f>
        <v>19500</v>
      </c>
      <c r="I9" s="414"/>
    </row>
    <row r="10" spans="1:9" s="330" customFormat="1" ht="12.75" customHeight="1" x14ac:dyDescent="0.25">
      <c r="A10" s="408" t="s">
        <v>1317</v>
      </c>
      <c r="B10" s="240">
        <v>45968</v>
      </c>
      <c r="C10" s="410" t="s">
        <v>1320</v>
      </c>
      <c r="D10" s="447">
        <v>-15170</v>
      </c>
      <c r="E10" s="412">
        <f t="shared" ref="E10:E21" si="0">E9+D10</f>
        <v>4330</v>
      </c>
      <c r="F10" s="445"/>
      <c r="G10" s="413">
        <f t="shared" ref="G10:G21" si="1">G9+F10</f>
        <v>0</v>
      </c>
      <c r="H10" s="413">
        <f t="shared" ref="H10:H21" si="2">H9-F10+D10</f>
        <v>4330</v>
      </c>
      <c r="I10" s="448"/>
    </row>
    <row r="11" spans="1:9" s="330" customFormat="1" ht="12.75" customHeight="1" x14ac:dyDescent="0.25">
      <c r="A11" s="408" t="s">
        <v>1399</v>
      </c>
      <c r="B11" s="240">
        <v>46002</v>
      </c>
      <c r="C11" s="410" t="s">
        <v>1403</v>
      </c>
      <c r="D11" s="411"/>
      <c r="E11" s="412">
        <f t="shared" si="0"/>
        <v>4330</v>
      </c>
      <c r="F11" s="445">
        <v>2485.5</v>
      </c>
      <c r="G11" s="413">
        <f t="shared" si="1"/>
        <v>2485.5</v>
      </c>
      <c r="H11" s="413">
        <f t="shared" si="2"/>
        <v>1844.5</v>
      </c>
      <c r="I11" s="414"/>
    </row>
    <row r="12" spans="1:9" s="330" customFormat="1" ht="12.75" customHeight="1" x14ac:dyDescent="0.25">
      <c r="A12" s="408" t="s">
        <v>1446</v>
      </c>
      <c r="B12" s="409">
        <v>46020</v>
      </c>
      <c r="C12" s="410" t="s">
        <v>1448</v>
      </c>
      <c r="D12" s="412"/>
      <c r="E12" s="412">
        <f t="shared" si="0"/>
        <v>4330</v>
      </c>
      <c r="F12" s="445">
        <v>404.5</v>
      </c>
      <c r="G12" s="413">
        <f t="shared" si="1"/>
        <v>2890</v>
      </c>
      <c r="H12" s="413">
        <f t="shared" si="2"/>
        <v>1440</v>
      </c>
      <c r="I12" s="414"/>
    </row>
    <row r="13" spans="1:9" s="330" customFormat="1" ht="12.75" customHeight="1" x14ac:dyDescent="0.25">
      <c r="A13" s="408" t="s">
        <v>1636</v>
      </c>
      <c r="B13" s="409">
        <v>46077</v>
      </c>
      <c r="C13" s="410" t="s">
        <v>1637</v>
      </c>
      <c r="D13" s="412"/>
      <c r="E13" s="412">
        <f t="shared" si="0"/>
        <v>4330</v>
      </c>
      <c r="F13" s="445">
        <v>0</v>
      </c>
      <c r="G13" s="413">
        <f t="shared" si="1"/>
        <v>2890</v>
      </c>
      <c r="H13" s="413">
        <f t="shared" si="2"/>
        <v>1440</v>
      </c>
      <c r="I13" s="414"/>
    </row>
    <row r="14" spans="1:9" s="330" customFormat="1" ht="12.75" customHeight="1" x14ac:dyDescent="0.25">
      <c r="A14" s="408" t="s">
        <v>1656</v>
      </c>
      <c r="B14" s="409">
        <v>46085</v>
      </c>
      <c r="C14" s="410" t="s">
        <v>1657</v>
      </c>
      <c r="D14" s="412"/>
      <c r="E14" s="412">
        <f t="shared" si="0"/>
        <v>4330</v>
      </c>
      <c r="F14" s="445">
        <v>0</v>
      </c>
      <c r="G14" s="413">
        <f t="shared" si="1"/>
        <v>2890</v>
      </c>
      <c r="H14" s="413">
        <f t="shared" si="2"/>
        <v>1440</v>
      </c>
      <c r="I14" s="414"/>
    </row>
    <row r="15" spans="1:9" s="330" customFormat="1" ht="12.75" customHeight="1" x14ac:dyDescent="0.25">
      <c r="A15" s="408" t="s">
        <v>1746</v>
      </c>
      <c r="B15" s="409">
        <v>46119</v>
      </c>
      <c r="C15" s="410" t="s">
        <v>1747</v>
      </c>
      <c r="D15" s="412"/>
      <c r="E15" s="412">
        <f t="shared" si="0"/>
        <v>4330</v>
      </c>
      <c r="F15" s="445">
        <v>0</v>
      </c>
      <c r="G15" s="413">
        <f t="shared" si="1"/>
        <v>2890</v>
      </c>
      <c r="H15" s="413">
        <f t="shared" si="2"/>
        <v>1440</v>
      </c>
      <c r="I15" s="414"/>
    </row>
    <row r="16" spans="1:9" s="330" customFormat="1" ht="12.75" customHeight="1" x14ac:dyDescent="0.25">
      <c r="A16" s="408" t="s">
        <v>1810</v>
      </c>
      <c r="B16" s="409">
        <v>46141</v>
      </c>
      <c r="C16" s="410" t="s">
        <v>1811</v>
      </c>
      <c r="D16" s="412"/>
      <c r="E16" s="412">
        <f t="shared" si="0"/>
        <v>4330</v>
      </c>
      <c r="F16" s="445">
        <v>0</v>
      </c>
      <c r="G16" s="413">
        <f t="shared" si="1"/>
        <v>2890</v>
      </c>
      <c r="H16" s="413">
        <f t="shared" si="2"/>
        <v>1440</v>
      </c>
      <c r="I16" s="414"/>
    </row>
    <row r="17" spans="1:9" s="330" customFormat="1" ht="12.75" customHeight="1" x14ac:dyDescent="0.25">
      <c r="A17" s="408"/>
      <c r="B17" s="409"/>
      <c r="C17" s="410"/>
      <c r="D17" s="412"/>
      <c r="E17" s="412">
        <f t="shared" si="0"/>
        <v>4330</v>
      </c>
      <c r="F17" s="422"/>
      <c r="G17" s="413">
        <f t="shared" si="1"/>
        <v>2890</v>
      </c>
      <c r="H17" s="413">
        <f t="shared" si="2"/>
        <v>1440</v>
      </c>
      <c r="I17" s="414"/>
    </row>
    <row r="18" spans="1:9" s="330" customFormat="1" ht="12.75" customHeight="1" x14ac:dyDescent="0.25">
      <c r="A18" s="408"/>
      <c r="B18" s="409"/>
      <c r="C18" s="410"/>
      <c r="D18" s="412"/>
      <c r="E18" s="412">
        <f t="shared" si="0"/>
        <v>4330</v>
      </c>
      <c r="F18" s="422"/>
      <c r="G18" s="413">
        <f t="shared" si="1"/>
        <v>2890</v>
      </c>
      <c r="H18" s="413">
        <f t="shared" si="2"/>
        <v>1440</v>
      </c>
      <c r="I18" s="414"/>
    </row>
    <row r="19" spans="1:9" s="330" customFormat="1" ht="12.75" customHeight="1" x14ac:dyDescent="0.25">
      <c r="A19" s="408"/>
      <c r="B19" s="409"/>
      <c r="C19" s="410"/>
      <c r="D19" s="412"/>
      <c r="E19" s="412">
        <f t="shared" si="0"/>
        <v>4330</v>
      </c>
      <c r="F19" s="413"/>
      <c r="G19" s="413">
        <f t="shared" si="1"/>
        <v>2890</v>
      </c>
      <c r="H19" s="413">
        <f t="shared" si="2"/>
        <v>1440</v>
      </c>
      <c r="I19" s="414"/>
    </row>
    <row r="20" spans="1:9" s="330" customFormat="1" ht="12.75" customHeight="1" x14ac:dyDescent="0.25">
      <c r="A20" s="408"/>
      <c r="B20" s="409"/>
      <c r="C20" s="410"/>
      <c r="D20" s="412"/>
      <c r="E20" s="412">
        <f t="shared" si="0"/>
        <v>4330</v>
      </c>
      <c r="F20" s="413"/>
      <c r="G20" s="413">
        <f t="shared" si="1"/>
        <v>2890</v>
      </c>
      <c r="H20" s="413">
        <f t="shared" si="2"/>
        <v>1440</v>
      </c>
      <c r="I20" s="414"/>
    </row>
    <row r="21" spans="1:9" s="330" customFormat="1" ht="12.75" customHeight="1" x14ac:dyDescent="0.25">
      <c r="A21" s="408"/>
      <c r="B21" s="409"/>
      <c r="C21" s="423"/>
      <c r="D21" s="412"/>
      <c r="E21" s="412">
        <f t="shared" si="0"/>
        <v>4330</v>
      </c>
      <c r="F21" s="413"/>
      <c r="G21" s="413">
        <f t="shared" si="1"/>
        <v>2890</v>
      </c>
      <c r="H21" s="413">
        <f t="shared" si="2"/>
        <v>1440</v>
      </c>
      <c r="I21" s="414"/>
    </row>
    <row r="22" spans="1:9" ht="12.75" customHeight="1" x14ac:dyDescent="0.25">
      <c r="A22" s="144"/>
      <c r="B22" s="146"/>
      <c r="C22" s="152"/>
      <c r="D22" s="148"/>
      <c r="E22" s="148"/>
      <c r="F22" s="148"/>
      <c r="G22" s="148"/>
      <c r="H22" s="148"/>
      <c r="I22" s="149"/>
    </row>
    <row r="23" spans="1:9" ht="15.75" thickBot="1" x14ac:dyDescent="0.3">
      <c r="A23" s="144"/>
      <c r="B23" s="153"/>
      <c r="C23" s="154" t="s">
        <v>54</v>
      </c>
      <c r="D23" s="123">
        <f>SUM(D9:D22)</f>
        <v>4330</v>
      </c>
      <c r="E23" s="123"/>
      <c r="F23" s="123">
        <f>SUM(F9:F22)</f>
        <v>2890</v>
      </c>
      <c r="G23" s="123"/>
      <c r="H23" s="123">
        <f>D23-F23</f>
        <v>1440</v>
      </c>
      <c r="I23" s="149"/>
    </row>
    <row r="24" spans="1:9" ht="15" customHeight="1" thickTop="1" x14ac:dyDescent="0.25"/>
    <row r="26" spans="1:9" ht="15" customHeight="1" x14ac:dyDescent="0.25">
      <c r="C26" s="152" t="s">
        <v>1285</v>
      </c>
      <c r="D26" s="148">
        <v>15170</v>
      </c>
      <c r="E26" s="148"/>
      <c r="F26" s="148">
        <f>'#9239.02 Terracon Consultants'!F23</f>
        <v>10877</v>
      </c>
      <c r="G26" s="148"/>
      <c r="H26" s="148">
        <f>D26-F26</f>
        <v>4293</v>
      </c>
    </row>
    <row r="27" spans="1:9" ht="15" customHeight="1" thickBot="1" x14ac:dyDescent="0.3">
      <c r="C27" s="173" t="s">
        <v>555</v>
      </c>
      <c r="D27" s="123">
        <f>SUM(D23:D26)</f>
        <v>19500</v>
      </c>
      <c r="E27" s="178"/>
      <c r="F27" s="123">
        <f>SUM(F23:F26)</f>
        <v>13767</v>
      </c>
      <c r="G27" s="178"/>
      <c r="H27" s="123">
        <f>SUM(H23:H26)</f>
        <v>5733</v>
      </c>
    </row>
    <row r="28"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pageSetUpPr fitToPage="1"/>
  </sheetPr>
  <dimension ref="A1:G37"/>
  <sheetViews>
    <sheetView tabSelected="1" topLeftCell="A6"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96</v>
      </c>
      <c r="C1" s="79"/>
      <c r="D1" s="6"/>
      <c r="E1" s="6"/>
      <c r="F1" s="6"/>
      <c r="G1" s="6"/>
    </row>
    <row r="2" spans="1:7" ht="15.75" x14ac:dyDescent="0.25">
      <c r="A2" s="77"/>
      <c r="B2" s="81" t="s">
        <v>68</v>
      </c>
      <c r="C2" s="80"/>
      <c r="D2" s="6"/>
      <c r="E2" s="6"/>
      <c r="F2" s="6"/>
      <c r="G2" s="6"/>
    </row>
    <row r="3" spans="1:7" ht="15.75" x14ac:dyDescent="0.25">
      <c r="A3" s="77"/>
      <c r="B3" s="82" t="s">
        <v>69</v>
      </c>
      <c r="C3" s="80"/>
      <c r="D3" s="6"/>
      <c r="E3" s="83" t="s">
        <v>71</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70</v>
      </c>
      <c r="C6" s="87"/>
      <c r="D6" s="88" t="s">
        <v>3</v>
      </c>
      <c r="E6" s="6"/>
      <c r="F6" s="6"/>
      <c r="G6" s="6"/>
    </row>
    <row r="7" spans="1:7" ht="36" customHeight="1" thickBot="1" x14ac:dyDescent="0.3">
      <c r="A7" s="77"/>
      <c r="B7" s="89" t="s">
        <v>3</v>
      </c>
      <c r="C7" s="90" t="s">
        <v>0</v>
      </c>
      <c r="D7" s="91" t="s">
        <v>1</v>
      </c>
      <c r="E7" s="92" t="s">
        <v>2</v>
      </c>
      <c r="F7" s="93" t="s">
        <v>37</v>
      </c>
      <c r="G7" s="93" t="s">
        <v>38</v>
      </c>
    </row>
    <row r="8" spans="1:7" ht="28.35" customHeight="1" x14ac:dyDescent="0.25">
      <c r="A8" s="77"/>
      <c r="B8" s="80" t="s">
        <v>39</v>
      </c>
      <c r="C8" s="94">
        <f>'#9279.40 Funds Rec''d '!H24</f>
        <v>14500067.359999999</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170</v>
      </c>
      <c r="B10" s="474" t="s">
        <v>171</v>
      </c>
      <c r="C10" s="475"/>
      <c r="D10" s="479">
        <f>'#9279.40 Shive Hattery'!D23</f>
        <v>142970</v>
      </c>
      <c r="E10" s="479">
        <f>'#9279.40 Shive Hattery'!F23</f>
        <v>142970</v>
      </c>
      <c r="F10" s="479">
        <f>'#9279.40 Shive Hattery'!H23</f>
        <v>0</v>
      </c>
      <c r="G10" s="477"/>
    </row>
    <row r="11" spans="1:7" s="330" customFormat="1" ht="12.75" customHeight="1" x14ac:dyDescent="0.25">
      <c r="A11" s="473"/>
      <c r="B11" s="474" t="s">
        <v>41</v>
      </c>
      <c r="C11" s="475"/>
      <c r="D11" s="479">
        <f>'#9279.40 PM TIME '!E58</f>
        <v>127079</v>
      </c>
      <c r="E11" s="479">
        <f>'#9279.40 PM TIME '!G58</f>
        <v>93135.409999999989</v>
      </c>
      <c r="F11" s="479">
        <f>'#9279.40 PM TIME '!I58</f>
        <v>33943.590000000011</v>
      </c>
      <c r="G11" s="477"/>
    </row>
    <row r="12" spans="1:7" s="330" customFormat="1" ht="12.75" customHeight="1" x14ac:dyDescent="0.25">
      <c r="A12" s="473"/>
      <c r="B12" s="474" t="s">
        <v>42</v>
      </c>
      <c r="C12" s="476"/>
      <c r="D12" s="463">
        <f>'#9279.40 Misc'!G22</f>
        <v>5548.21</v>
      </c>
      <c r="E12" s="463">
        <f>'#9279.40 Misc'!G22</f>
        <v>5548.21</v>
      </c>
      <c r="F12" s="479">
        <f>D12-E12</f>
        <v>0</v>
      </c>
      <c r="G12" s="477"/>
    </row>
    <row r="13" spans="1:7" s="330" customFormat="1" ht="12.75" customHeight="1" x14ac:dyDescent="0.25">
      <c r="A13" s="473"/>
      <c r="B13" s="474" t="s">
        <v>188</v>
      </c>
      <c r="C13" s="476"/>
      <c r="D13" s="463">
        <f>'#9279.40 Story Construction'!D36</f>
        <v>127565.66000000002</v>
      </c>
      <c r="E13" s="463">
        <f>'#9279.40 Story Construction'!F36</f>
        <v>115023.90999999999</v>
      </c>
      <c r="F13" s="479">
        <f>'#9279.40 Story Construction'!H36</f>
        <v>12541.750000000029</v>
      </c>
      <c r="G13" s="477"/>
    </row>
    <row r="14" spans="1:7" s="330" customFormat="1" ht="12.75" customHeight="1" x14ac:dyDescent="0.25">
      <c r="A14" s="478" t="s">
        <v>170</v>
      </c>
      <c r="B14" s="474" t="s">
        <v>216</v>
      </c>
      <c r="C14" s="476"/>
      <c r="D14" s="463">
        <f>'#9279.40 ATC Group Services'!D23</f>
        <v>25335</v>
      </c>
      <c r="E14" s="463">
        <f>'#9279.40 ATC Group Services'!F23</f>
        <v>25335</v>
      </c>
      <c r="F14" s="479">
        <f>'#9279.40 ATC Group Services'!H23</f>
        <v>0</v>
      </c>
      <c r="G14" s="477"/>
    </row>
    <row r="15" spans="1:7" s="330" customFormat="1" ht="12.75" customHeight="1" x14ac:dyDescent="0.25">
      <c r="A15" s="473"/>
      <c r="B15" s="474" t="s">
        <v>266</v>
      </c>
      <c r="C15" s="476"/>
      <c r="D15" s="463">
        <f>'#9279.40 Shive Hattery (2)'!D44</f>
        <v>628358</v>
      </c>
      <c r="E15" s="463">
        <f>'#9279.40 Shive Hattery (2)'!F44</f>
        <v>518579</v>
      </c>
      <c r="F15" s="479">
        <f>'#9279.40 Shive Hattery (2)'!H44</f>
        <v>109779</v>
      </c>
      <c r="G15" s="477"/>
    </row>
    <row r="16" spans="1:7" s="330" customFormat="1" ht="12.75" customHeight="1" x14ac:dyDescent="0.25">
      <c r="A16" s="473"/>
      <c r="B16" s="474" t="s">
        <v>379</v>
      </c>
      <c r="C16" s="476"/>
      <c r="D16" s="463">
        <f>'#9279.40 SystemWorks'!D23</f>
        <v>51355</v>
      </c>
      <c r="E16" s="463">
        <f>'#9279.40 SystemWorks'!F23</f>
        <v>3430</v>
      </c>
      <c r="F16" s="479">
        <f>'#9279.40 SystemWorks'!H23</f>
        <v>47925</v>
      </c>
      <c r="G16" s="477"/>
    </row>
    <row r="17" spans="1:7" s="330" customFormat="1" ht="12.75" customHeight="1" x14ac:dyDescent="0.25">
      <c r="A17" s="473"/>
      <c r="B17" s="474" t="s">
        <v>407</v>
      </c>
      <c r="C17" s="476"/>
      <c r="D17" s="463">
        <f>'#9279.40 ATC Group Services (2)'!D23</f>
        <v>36160</v>
      </c>
      <c r="E17" s="463">
        <f>'#9279.40 ATC Group Services (2)'!F23</f>
        <v>4683.75</v>
      </c>
      <c r="F17" s="479">
        <f>'#9279.40 ATC Group Services (2)'!H23</f>
        <v>31476.25</v>
      </c>
      <c r="G17" s="477"/>
    </row>
    <row r="18" spans="1:7" s="330" customFormat="1" ht="12.75" customHeight="1" x14ac:dyDescent="0.25">
      <c r="A18" s="473"/>
      <c r="B18" s="474" t="s">
        <v>425</v>
      </c>
      <c r="C18" s="476"/>
      <c r="D18" s="463">
        <f>'#9279.40 Shive Hattery (3)'!D23</f>
        <v>157782</v>
      </c>
      <c r="E18" s="463">
        <f>'#9279.40 Shive Hattery (3)'!F23</f>
        <v>147541.94</v>
      </c>
      <c r="F18" s="479">
        <f>'#9279.40 Shive Hattery (3)'!H23</f>
        <v>10240.059999999998</v>
      </c>
      <c r="G18" s="477"/>
    </row>
    <row r="19" spans="1:7" s="330" customFormat="1" ht="12.75" customHeight="1" x14ac:dyDescent="0.25">
      <c r="A19" s="473"/>
      <c r="B19" s="474" t="s">
        <v>762</v>
      </c>
      <c r="C19" s="476"/>
      <c r="D19" s="463">
        <f>'#9279.40 Shive Hattery (4)'!D23</f>
        <v>120612</v>
      </c>
      <c r="E19" s="463">
        <f>'#9279.40 Shive Hattery (4)'!F23</f>
        <v>75208.899999999994</v>
      </c>
      <c r="F19" s="479">
        <f>'#9279.40 Shive Hattery (4)'!H23</f>
        <v>45403.100000000006</v>
      </c>
      <c r="G19" s="477"/>
    </row>
    <row r="20" spans="1:7" s="330" customFormat="1" ht="12.75" customHeight="1" x14ac:dyDescent="0.25">
      <c r="A20" s="478" t="s">
        <v>170</v>
      </c>
      <c r="B20" s="474" t="s">
        <v>788</v>
      </c>
      <c r="C20" s="476"/>
      <c r="D20" s="463">
        <f>'#9279.40 ATC Group Services (3)'!D23</f>
        <v>7434</v>
      </c>
      <c r="E20" s="463">
        <f>'#9279.40 ATC Group Services (3)'!F23</f>
        <v>7434</v>
      </c>
      <c r="F20" s="479">
        <f>'#9279.40 ATC Group Services (3)'!H23</f>
        <v>0</v>
      </c>
      <c r="G20" s="477"/>
    </row>
    <row r="21" spans="1:7" s="330" customFormat="1" ht="12.75" customHeight="1" x14ac:dyDescent="0.25">
      <c r="A21" s="473"/>
      <c r="B21" s="474" t="s">
        <v>719</v>
      </c>
      <c r="C21" s="476"/>
      <c r="D21" s="463">
        <f>'#9279.40 Story Construction (2)'!D25</f>
        <v>806021.17999999993</v>
      </c>
      <c r="E21" s="463">
        <f>'#9279.40 Story Construction (2)'!F25</f>
        <v>543579.24999999988</v>
      </c>
      <c r="F21" s="479">
        <f>'#9279.40 Story Construction (2)'!H25</f>
        <v>262441.93000000005</v>
      </c>
      <c r="G21" s="477"/>
    </row>
    <row r="22" spans="1:7" s="330" customFormat="1" ht="12.75" customHeight="1" x14ac:dyDescent="0.25">
      <c r="A22" s="478" t="s">
        <v>170</v>
      </c>
      <c r="B22" s="474" t="s">
        <v>807</v>
      </c>
      <c r="C22" s="476"/>
      <c r="D22" s="463">
        <f>'#9279.40 Advanced Environmental'!D23</f>
        <v>13500.04</v>
      </c>
      <c r="E22" s="463">
        <f>'#9279.40 Advanced Environmental'!F23</f>
        <v>13500.04</v>
      </c>
      <c r="F22" s="479">
        <f>'#9279.40 Advanced Environmental'!H23</f>
        <v>0</v>
      </c>
      <c r="G22" s="477"/>
    </row>
    <row r="23" spans="1:7" s="330" customFormat="1" ht="12.75" customHeight="1" x14ac:dyDescent="0.25">
      <c r="A23" s="473"/>
      <c r="B23" s="474" t="s">
        <v>816</v>
      </c>
      <c r="C23" s="476"/>
      <c r="D23" s="463">
        <f>'#9279.40 VanMaanen Electric'!D23</f>
        <v>905961.74</v>
      </c>
      <c r="E23" s="463">
        <f>'#9279.40 VanMaanen Electric'!F23</f>
        <v>753544.75</v>
      </c>
      <c r="F23" s="479">
        <f>'#9279.40 VanMaanen Electric'!H23</f>
        <v>152416.99</v>
      </c>
      <c r="G23" s="477"/>
    </row>
    <row r="24" spans="1:7" s="330" customFormat="1" ht="12.75" customHeight="1" x14ac:dyDescent="0.25">
      <c r="A24" s="473"/>
      <c r="B24" s="474" t="s">
        <v>841</v>
      </c>
      <c r="C24" s="476"/>
      <c r="D24" s="463">
        <f>'#9279.40 Pleva Plumbing'!D23</f>
        <v>3714582.5</v>
      </c>
      <c r="E24" s="463">
        <f>'#9279.40 Pleva Plumbing'!F23</f>
        <v>2813171.2699999996</v>
      </c>
      <c r="F24" s="479">
        <f>'#9279.40 Pleva Plumbing'!H23</f>
        <v>901411.23000000045</v>
      </c>
      <c r="G24" s="477"/>
    </row>
    <row r="25" spans="1:7" s="330" customFormat="1" ht="12.75" customHeight="1" x14ac:dyDescent="0.25">
      <c r="A25" s="473"/>
      <c r="B25" s="474" t="s">
        <v>379</v>
      </c>
      <c r="C25" s="476"/>
      <c r="D25" s="463">
        <f>'#9279.40 SystemWorks (2)'!D23</f>
        <v>14865</v>
      </c>
      <c r="E25" s="463">
        <f>'#9279.40 SystemWorks (2)'!F23</f>
        <v>7880</v>
      </c>
      <c r="F25" s="479">
        <f>'#9279.40 SystemWorks (2)'!H23</f>
        <v>6985</v>
      </c>
      <c r="G25" s="477"/>
    </row>
    <row r="26" spans="1:7" s="330" customFormat="1" ht="12.75" customHeight="1" x14ac:dyDescent="0.25">
      <c r="A26" s="473"/>
      <c r="B26" s="474" t="s">
        <v>858</v>
      </c>
      <c r="C26" s="476"/>
      <c r="D26" s="463">
        <f>'#9279.40 Kline Electrical'!D22</f>
        <v>4468.9099999999744</v>
      </c>
      <c r="E26" s="463">
        <f>'#9279.40 Kline Electrical'!F22</f>
        <v>0</v>
      </c>
      <c r="F26" s="479">
        <f>'#9279.40 Kline Electrical'!H22</f>
        <v>4468.9099999999744</v>
      </c>
      <c r="G26" s="477"/>
    </row>
    <row r="27" spans="1:7" s="330" customFormat="1" ht="12.75" customHeight="1" x14ac:dyDescent="0.25">
      <c r="A27" s="473"/>
      <c r="B27" s="474" t="s">
        <v>1162</v>
      </c>
      <c r="C27" s="476"/>
      <c r="D27" s="463">
        <f>'#9279.40 Shive Hattery (5)'!D23</f>
        <v>131130</v>
      </c>
      <c r="E27" s="463">
        <f>'#9279.40 Shive Hattery (5)'!F23</f>
        <v>100870</v>
      </c>
      <c r="F27" s="479">
        <f>'#9279.40 Shive Hattery (5)'!H23</f>
        <v>30260</v>
      </c>
      <c r="G27" s="477"/>
    </row>
    <row r="28" spans="1:7" s="330" customFormat="1" ht="12.75" customHeight="1" x14ac:dyDescent="0.25">
      <c r="A28" s="478" t="s">
        <v>170</v>
      </c>
      <c r="B28" s="474" t="s">
        <v>1646</v>
      </c>
      <c r="C28" s="476"/>
      <c r="D28" s="463">
        <f>'#9279.40 Story Construction (3)'!D23</f>
        <v>20033.18</v>
      </c>
      <c r="E28" s="463">
        <f>'#9279.40 Story Construction (3)'!F23</f>
        <v>20033.18</v>
      </c>
      <c r="F28" s="479">
        <f>'#9279.40 Story Construction (3)'!H23</f>
        <v>0</v>
      </c>
      <c r="G28" s="477"/>
    </row>
    <row r="29" spans="1:7" s="330" customFormat="1" ht="12.75" customHeight="1" x14ac:dyDescent="0.25">
      <c r="A29" s="478" t="s">
        <v>170</v>
      </c>
      <c r="B29" s="474" t="s">
        <v>1385</v>
      </c>
      <c r="C29" s="476"/>
      <c r="D29" s="463">
        <f>'#9279.40 ATC Group Services (4)'!D23</f>
        <v>9362</v>
      </c>
      <c r="E29" s="463">
        <f>'#9279.40 ATC Group Services (4)'!F23</f>
        <v>9362</v>
      </c>
      <c r="F29" s="479">
        <f>'#9279.40 ATC Group Services (4)'!H23</f>
        <v>0</v>
      </c>
      <c r="G29" s="477"/>
    </row>
    <row r="30" spans="1:7" s="330" customFormat="1" ht="12.75" customHeight="1" x14ac:dyDescent="0.25">
      <c r="A30" s="478"/>
      <c r="B30" s="474" t="s">
        <v>1524</v>
      </c>
      <c r="C30" s="476"/>
      <c r="D30" s="463">
        <f>'#9279.40 ATC Group Services (5)'!D23</f>
        <v>5958</v>
      </c>
      <c r="E30" s="463">
        <f>'#9279.40 ATC Group Services (5)'!F23</f>
        <v>0</v>
      </c>
      <c r="F30" s="479">
        <f>'#9279.40 ATC Group Services (5)'!H23</f>
        <v>5958</v>
      </c>
      <c r="G30" s="477"/>
    </row>
    <row r="31" spans="1:7" s="330" customFormat="1" ht="12.75" customHeight="1" x14ac:dyDescent="0.25">
      <c r="A31" s="478" t="s">
        <v>170</v>
      </c>
      <c r="B31" s="474" t="s">
        <v>1613</v>
      </c>
      <c r="C31" s="476"/>
      <c r="D31" s="463">
        <f>'#9279.40 Controlled Asbestos'!D23</f>
        <v>2483.4000000000015</v>
      </c>
      <c r="E31" s="463">
        <f>'#9279.40 Controlled Asbestos'!F23</f>
        <v>2483.4</v>
      </c>
      <c r="F31" s="479">
        <f>'#9279.40 Controlled Asbestos'!H23</f>
        <v>0</v>
      </c>
      <c r="G31" s="477"/>
    </row>
    <row r="32" spans="1:7" s="330" customFormat="1" ht="12.75" customHeight="1" x14ac:dyDescent="0.25">
      <c r="A32" s="478"/>
      <c r="B32" s="474" t="s">
        <v>1647</v>
      </c>
      <c r="C32" s="476"/>
      <c r="D32" s="463">
        <f>'#9279.40 Story Construction (4)'!D23</f>
        <v>147749.88</v>
      </c>
      <c r="E32" s="463">
        <f>'#9279.40 Story Construction (4)'!F23</f>
        <v>3892.16</v>
      </c>
      <c r="F32" s="479">
        <f>'#9279.40 Story Construction (4)'!H23</f>
        <v>143857.72</v>
      </c>
      <c r="G32" s="477"/>
    </row>
    <row r="33" spans="1:7" s="330" customFormat="1" ht="12.75" customHeight="1" x14ac:dyDescent="0.25">
      <c r="A33" s="478"/>
      <c r="B33" s="474" t="s">
        <v>1690</v>
      </c>
      <c r="C33" s="476"/>
      <c r="D33" s="463">
        <f>'#9279.40 VanMaanen Electric (2)'!D23</f>
        <v>998762</v>
      </c>
      <c r="E33" s="463">
        <f>'#9279.40 VanMaanen Electric (2)'!F23</f>
        <v>0</v>
      </c>
      <c r="F33" s="479">
        <f>'#9279.40 VanMaanen Electric (2)'!H23</f>
        <v>998762</v>
      </c>
      <c r="G33" s="477"/>
    </row>
    <row r="34" spans="1:7" s="330" customFormat="1" ht="12.75" customHeight="1" x14ac:dyDescent="0.25">
      <c r="A34" s="478"/>
      <c r="B34" s="474" t="s">
        <v>1804</v>
      </c>
      <c r="C34" s="476"/>
      <c r="D34" s="463">
        <f>'#9279.40 Controlled Asbesto (2)'!D23</f>
        <v>13660</v>
      </c>
      <c r="E34" s="463">
        <f>'#9279.40 Controlled Asbesto (2)'!F23</f>
        <v>0</v>
      </c>
      <c r="F34" s="479">
        <f>'#9279.40 Controlled Asbesto (2)'!H23</f>
        <v>13660</v>
      </c>
      <c r="G34" s="477"/>
    </row>
    <row r="35" spans="1:7" s="330" customFormat="1" ht="12.75" customHeight="1" x14ac:dyDescent="0.25">
      <c r="A35" s="473"/>
      <c r="B35" s="474"/>
      <c r="C35" s="476"/>
      <c r="D35" s="463"/>
      <c r="E35" s="463"/>
      <c r="F35" s="479"/>
      <c r="G35" s="477"/>
    </row>
    <row r="36" spans="1:7" ht="24" customHeight="1" thickBot="1" x14ac:dyDescent="0.3">
      <c r="A36" s="100"/>
      <c r="B36" s="101" t="s">
        <v>43</v>
      </c>
      <c r="C36" s="102">
        <f>SUM(C8:C35)</f>
        <v>14500067.359999999</v>
      </c>
      <c r="D36" s="102">
        <f>SUM(D8:D35)</f>
        <v>8218736.7000000002</v>
      </c>
      <c r="E36" s="102">
        <f>SUM(E8:E35)</f>
        <v>5407206.1699999999</v>
      </c>
      <c r="F36" s="102">
        <f>SUM(D36-E36)</f>
        <v>2811530.5300000003</v>
      </c>
      <c r="G36" s="102">
        <f>C8-D36</f>
        <v>6281330.6599999992</v>
      </c>
    </row>
    <row r="37"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pageSetUpPr fitToPage="1"/>
  </sheetPr>
  <dimension ref="A1:H64"/>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37.85546875" customWidth="1"/>
    <col min="5" max="5" width="28.85546875" customWidth="1"/>
    <col min="6" max="6" width="10.42578125" bestFit="1" customWidth="1"/>
    <col min="7" max="7" width="15" bestFit="1" customWidth="1"/>
    <col min="8" max="8" width="16.7109375" customWidth="1"/>
    <col min="9" max="11" width="9.140625" customWidth="1"/>
  </cols>
  <sheetData>
    <row r="1" spans="1:8" x14ac:dyDescent="0.25">
      <c r="A1" s="104" t="str">
        <f>'RECAP #9279.40'!B1</f>
        <v xml:space="preserve">HHS WRC Campus Utility Decentralization Phase 4 &amp; Fire Alarm Phase 3 </v>
      </c>
      <c r="B1" s="7"/>
      <c r="C1" s="2"/>
      <c r="D1" s="3"/>
      <c r="E1" s="3"/>
      <c r="F1" s="7"/>
      <c r="G1" s="7"/>
      <c r="H1" s="7"/>
    </row>
    <row r="2" spans="1:8" x14ac:dyDescent="0.25">
      <c r="A2" s="105" t="str">
        <f>'RECAP #9279.40'!B2</f>
        <v>Project # 9279.40</v>
      </c>
      <c r="B2" s="7"/>
      <c r="C2" s="106" t="s">
        <v>3</v>
      </c>
      <c r="D2" s="1"/>
      <c r="E2" s="1"/>
      <c r="F2" s="7"/>
      <c r="G2" s="7"/>
      <c r="H2" s="7"/>
    </row>
    <row r="3" spans="1:8" x14ac:dyDescent="0.25">
      <c r="A3" s="107" t="str">
        <f>'RECAP #9279.40'!B3</f>
        <v>Program code 927940</v>
      </c>
      <c r="B3" s="7"/>
      <c r="C3" s="106" t="s">
        <v>3</v>
      </c>
      <c r="D3" s="108" t="str">
        <f>'RECAP #9279.40'!E3</f>
        <v>Major Program 4B02</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#9279.40'!B6</f>
        <v>Project Manager - Jennifer K.</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s="330" customFormat="1" ht="12.75" customHeight="1" x14ac:dyDescent="0.25">
      <c r="A9" s="230"/>
      <c r="B9" s="231"/>
      <c r="C9" s="232"/>
      <c r="D9" s="233" t="s">
        <v>73</v>
      </c>
      <c r="E9" s="233" t="s">
        <v>95</v>
      </c>
      <c r="F9" s="234">
        <v>45485</v>
      </c>
      <c r="G9" s="342">
        <v>14500000</v>
      </c>
      <c r="H9" s="342">
        <v>14500000</v>
      </c>
    </row>
    <row r="10" spans="1:8" s="330" customFormat="1" ht="12.75" customHeight="1" x14ac:dyDescent="0.25">
      <c r="A10" s="230"/>
      <c r="B10" s="230"/>
      <c r="C10" s="236"/>
      <c r="D10" s="233" t="s">
        <v>991</v>
      </c>
      <c r="E10" s="233" t="s">
        <v>990</v>
      </c>
      <c r="F10" s="230">
        <v>45869</v>
      </c>
      <c r="G10" s="342">
        <v>67.36</v>
      </c>
      <c r="H10" s="342">
        <v>67.36</v>
      </c>
    </row>
    <row r="11" spans="1:8" s="330" customFormat="1" ht="12.75" customHeight="1" x14ac:dyDescent="0.25">
      <c r="A11" s="237"/>
      <c r="B11" s="236"/>
      <c r="C11" s="238"/>
      <c r="D11" s="233" t="s">
        <v>995</v>
      </c>
      <c r="E11" s="230" t="s">
        <v>998</v>
      </c>
      <c r="F11" s="230">
        <v>45881</v>
      </c>
      <c r="G11" s="386">
        <v>-13566468.880000001</v>
      </c>
      <c r="H11" s="386">
        <v>-13566468.880000001</v>
      </c>
    </row>
    <row r="12" spans="1:8" s="330" customFormat="1" ht="12.75" customHeight="1" x14ac:dyDescent="0.25">
      <c r="A12" s="237"/>
      <c r="B12" s="236"/>
      <c r="C12" s="239"/>
      <c r="D12" s="233" t="s">
        <v>1208</v>
      </c>
      <c r="E12" s="230" t="s">
        <v>1077</v>
      </c>
      <c r="F12" s="230">
        <v>45902</v>
      </c>
      <c r="G12" s="342">
        <v>13566468.880000001</v>
      </c>
      <c r="H12" s="342">
        <v>13566468.880000001</v>
      </c>
    </row>
    <row r="13" spans="1:8" s="330" customFormat="1" ht="12.75" customHeight="1" x14ac:dyDescent="0.25">
      <c r="A13" s="240"/>
      <c r="B13" s="241"/>
      <c r="C13" s="239"/>
      <c r="D13" s="233"/>
      <c r="F13" s="230"/>
      <c r="G13" s="399"/>
      <c r="H13" s="402"/>
    </row>
    <row r="14" spans="1:8" s="330" customFormat="1" ht="12.75" customHeight="1" x14ac:dyDescent="0.25">
      <c r="A14" s="237"/>
      <c r="B14" s="242"/>
      <c r="C14" s="239"/>
      <c r="D14" s="236"/>
      <c r="E14" s="242"/>
      <c r="F14" s="230"/>
      <c r="G14" s="397"/>
      <c r="H14" s="402"/>
    </row>
    <row r="15" spans="1:8" s="330" customFormat="1" ht="12.75" customHeight="1" x14ac:dyDescent="0.25">
      <c r="A15" s="237"/>
      <c r="B15" s="242"/>
      <c r="C15" s="243"/>
      <c r="D15" s="244"/>
      <c r="E15" s="241"/>
      <c r="F15" s="245"/>
      <c r="G15" s="400"/>
      <c r="H15" s="400"/>
    </row>
    <row r="16" spans="1:8" s="330" customFormat="1" ht="12.75" customHeight="1" x14ac:dyDescent="0.25">
      <c r="A16" s="237"/>
      <c r="B16" s="242"/>
      <c r="C16" s="243" t="s">
        <v>3</v>
      </c>
      <c r="D16" s="244"/>
      <c r="E16" s="242"/>
      <c r="F16" s="245"/>
      <c r="G16" s="400"/>
      <c r="H16" s="400"/>
    </row>
    <row r="17" spans="1:8" s="330" customFormat="1" ht="12.75" customHeight="1" x14ac:dyDescent="0.25">
      <c r="A17" s="237"/>
      <c r="B17" s="242"/>
      <c r="C17" s="243"/>
      <c r="D17" s="244"/>
      <c r="E17" s="242"/>
      <c r="F17" s="245"/>
      <c r="G17" s="247"/>
      <c r="H17" s="401"/>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2.75" customHeight="1" thickBot="1" x14ac:dyDescent="0.3">
      <c r="A24" s="526"/>
      <c r="B24" s="527" t="s">
        <v>9</v>
      </c>
      <c r="C24" s="528">
        <f>SUM(C9:C23)</f>
        <v>0</v>
      </c>
      <c r="D24" s="529" t="s">
        <v>10</v>
      </c>
      <c r="E24" s="530"/>
      <c r="F24" s="531"/>
      <c r="G24" s="426">
        <f>SUM(G9:G23)</f>
        <v>14500067.359999999</v>
      </c>
      <c r="H24" s="426">
        <f>SUM(H9:H23)</f>
        <v>14500067.359999999</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0070C0"/>
    <pageSetUpPr fitToPage="1"/>
  </sheetPr>
  <dimension ref="A1:I106"/>
  <sheetViews>
    <sheetView tabSelected="1" topLeftCell="A20"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171</v>
      </c>
      <c r="B4" s="126"/>
      <c r="C4" s="181"/>
      <c r="D4" s="185" t="s">
        <v>172</v>
      </c>
      <c r="E4" s="180"/>
      <c r="F4" s="180"/>
      <c r="G4" s="180"/>
      <c r="H4" s="181"/>
      <c r="I4" s="181"/>
    </row>
    <row r="5" spans="1:9" ht="15.75" x14ac:dyDescent="0.25">
      <c r="A5" s="186" t="s">
        <v>143</v>
      </c>
      <c r="B5" s="181"/>
      <c r="C5" s="187"/>
      <c r="D5" s="132" t="s">
        <v>173</v>
      </c>
      <c r="E5" s="137"/>
      <c r="F5" s="180"/>
      <c r="G5" s="180"/>
      <c r="H5" s="181"/>
      <c r="I5" s="181"/>
    </row>
    <row r="6" spans="1:9" ht="15.75" x14ac:dyDescent="0.25">
      <c r="A6" s="126" t="str">
        <f>'RECAP #9279.40'!B6</f>
        <v>Project Manager - Jennifer K.</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174</v>
      </c>
      <c r="B9" s="500">
        <v>45527</v>
      </c>
      <c r="C9" s="501" t="s">
        <v>107</v>
      </c>
      <c r="D9" s="404">
        <v>142970</v>
      </c>
      <c r="E9" s="502">
        <f>D9</f>
        <v>142970</v>
      </c>
      <c r="F9" s="503"/>
      <c r="G9" s="503"/>
      <c r="H9" s="503">
        <f>E9</f>
        <v>142970</v>
      </c>
      <c r="I9" s="504"/>
    </row>
    <row r="10" spans="1:9" s="330" customFormat="1" ht="12.75" customHeight="1" x14ac:dyDescent="0.25">
      <c r="A10" s="499" t="s">
        <v>302</v>
      </c>
      <c r="B10" s="365">
        <v>45601</v>
      </c>
      <c r="C10" s="501" t="s">
        <v>305</v>
      </c>
      <c r="D10" s="502"/>
      <c r="E10" s="502">
        <f t="shared" ref="E10:E21" si="0">E9+D10</f>
        <v>142970</v>
      </c>
      <c r="F10" s="406">
        <v>60320</v>
      </c>
      <c r="G10" s="503">
        <f t="shared" ref="G10:G21" si="1">G9+F10</f>
        <v>60320</v>
      </c>
      <c r="H10" s="503">
        <f t="shared" ref="H10:H21" si="2">H9-F10+D10</f>
        <v>82650</v>
      </c>
      <c r="I10" s="504"/>
    </row>
    <row r="11" spans="1:9" s="330" customFormat="1" ht="12.75" customHeight="1" x14ac:dyDescent="0.25">
      <c r="A11" s="499" t="s">
        <v>346</v>
      </c>
      <c r="B11" s="500">
        <v>45638</v>
      </c>
      <c r="C11" s="501" t="s">
        <v>347</v>
      </c>
      <c r="D11" s="502"/>
      <c r="E11" s="502">
        <f t="shared" si="0"/>
        <v>142970</v>
      </c>
      <c r="F11" s="406">
        <v>53915</v>
      </c>
      <c r="G11" s="503">
        <f t="shared" si="1"/>
        <v>114235</v>
      </c>
      <c r="H11" s="503">
        <f t="shared" si="2"/>
        <v>28735</v>
      </c>
      <c r="I11" s="504"/>
    </row>
    <row r="12" spans="1:9" s="330" customFormat="1" ht="12.75" customHeight="1" x14ac:dyDescent="0.25">
      <c r="A12" s="499" t="s">
        <v>461</v>
      </c>
      <c r="B12" s="500">
        <v>45684</v>
      </c>
      <c r="C12" s="501" t="s">
        <v>462</v>
      </c>
      <c r="D12" s="502"/>
      <c r="E12" s="502">
        <f t="shared" si="0"/>
        <v>142970</v>
      </c>
      <c r="F12" s="406">
        <v>25861.5</v>
      </c>
      <c r="G12" s="503">
        <f t="shared" si="1"/>
        <v>140096.5</v>
      </c>
      <c r="H12" s="503">
        <f t="shared" si="2"/>
        <v>2873.5</v>
      </c>
      <c r="I12" s="504"/>
    </row>
    <row r="13" spans="1:9" s="330" customFormat="1" ht="12.75" customHeight="1" x14ac:dyDescent="0.25">
      <c r="A13" s="499" t="s">
        <v>725</v>
      </c>
      <c r="B13" s="500">
        <v>45786</v>
      </c>
      <c r="C13" s="501" t="s">
        <v>726</v>
      </c>
      <c r="D13" s="502"/>
      <c r="E13" s="502">
        <f t="shared" si="0"/>
        <v>142970</v>
      </c>
      <c r="F13" s="406">
        <v>2873.5</v>
      </c>
      <c r="G13" s="503">
        <f t="shared" si="1"/>
        <v>142970</v>
      </c>
      <c r="H13" s="503">
        <f t="shared" si="2"/>
        <v>0</v>
      </c>
      <c r="I13" s="504"/>
    </row>
    <row r="14" spans="1:9" s="330" customFormat="1" ht="12.75" customHeight="1" x14ac:dyDescent="0.25">
      <c r="A14" s="499"/>
      <c r="B14" s="500"/>
      <c r="C14" s="501"/>
      <c r="D14" s="502"/>
      <c r="E14" s="502">
        <f t="shared" si="0"/>
        <v>142970</v>
      </c>
      <c r="F14" s="503"/>
      <c r="G14" s="503">
        <f t="shared" si="1"/>
        <v>142970</v>
      </c>
      <c r="H14" s="503">
        <f t="shared" si="2"/>
        <v>0</v>
      </c>
      <c r="I14" s="504"/>
    </row>
    <row r="15" spans="1:9" s="330" customFormat="1" ht="12.75" customHeight="1" x14ac:dyDescent="0.25">
      <c r="A15" s="499"/>
      <c r="B15" s="500"/>
      <c r="C15" s="501"/>
      <c r="D15" s="502"/>
      <c r="E15" s="502">
        <f t="shared" si="0"/>
        <v>142970</v>
      </c>
      <c r="F15" s="406"/>
      <c r="G15" s="503">
        <f t="shared" si="1"/>
        <v>142970</v>
      </c>
      <c r="H15" s="503">
        <f t="shared" si="2"/>
        <v>0</v>
      </c>
      <c r="I15" s="504"/>
    </row>
    <row r="16" spans="1:9" s="330" customFormat="1" ht="12.75" customHeight="1" x14ac:dyDescent="0.25">
      <c r="A16" s="499"/>
      <c r="B16" s="500"/>
      <c r="C16" s="501"/>
      <c r="D16" s="502"/>
      <c r="E16" s="502">
        <f t="shared" si="0"/>
        <v>142970</v>
      </c>
      <c r="F16" s="406"/>
      <c r="G16" s="503">
        <f t="shared" si="1"/>
        <v>142970</v>
      </c>
      <c r="H16" s="503">
        <f t="shared" si="2"/>
        <v>0</v>
      </c>
      <c r="I16" s="504"/>
    </row>
    <row r="17" spans="1:9" s="330" customFormat="1" ht="12.75" customHeight="1" x14ac:dyDescent="0.25">
      <c r="A17" s="499"/>
      <c r="B17" s="500"/>
      <c r="C17" s="501"/>
      <c r="D17" s="502"/>
      <c r="E17" s="502">
        <f t="shared" si="0"/>
        <v>142970</v>
      </c>
      <c r="F17" s="406"/>
      <c r="G17" s="503">
        <f t="shared" si="1"/>
        <v>142970</v>
      </c>
      <c r="H17" s="503">
        <f t="shared" si="2"/>
        <v>0</v>
      </c>
      <c r="I17" s="504"/>
    </row>
    <row r="18" spans="1:9" s="330" customFormat="1" ht="12.75" customHeight="1" x14ac:dyDescent="0.25">
      <c r="A18" s="499"/>
      <c r="B18" s="500"/>
      <c r="C18" s="501"/>
      <c r="D18" s="502"/>
      <c r="E18" s="502">
        <f t="shared" si="0"/>
        <v>142970</v>
      </c>
      <c r="F18" s="406"/>
      <c r="G18" s="503">
        <f t="shared" si="1"/>
        <v>142970</v>
      </c>
      <c r="H18" s="503">
        <f t="shared" si="2"/>
        <v>0</v>
      </c>
      <c r="I18" s="504"/>
    </row>
    <row r="19" spans="1:9" s="330" customFormat="1" ht="12.75" customHeight="1" x14ac:dyDescent="0.25">
      <c r="A19" s="499"/>
      <c r="B19" s="500"/>
      <c r="C19" s="501"/>
      <c r="D19" s="502"/>
      <c r="E19" s="502">
        <f t="shared" si="0"/>
        <v>142970</v>
      </c>
      <c r="F19" s="503"/>
      <c r="G19" s="503">
        <f t="shared" si="1"/>
        <v>142970</v>
      </c>
      <c r="H19" s="503">
        <f t="shared" si="2"/>
        <v>0</v>
      </c>
      <c r="I19" s="504"/>
    </row>
    <row r="20" spans="1:9" s="330" customFormat="1" ht="12.75" customHeight="1" x14ac:dyDescent="0.25">
      <c r="A20" s="499"/>
      <c r="B20" s="500"/>
      <c r="C20" s="501"/>
      <c r="D20" s="502"/>
      <c r="E20" s="502">
        <f t="shared" si="0"/>
        <v>142970</v>
      </c>
      <c r="F20" s="503"/>
      <c r="G20" s="503">
        <f t="shared" si="1"/>
        <v>142970</v>
      </c>
      <c r="H20" s="503">
        <f t="shared" si="2"/>
        <v>0</v>
      </c>
      <c r="I20" s="504"/>
    </row>
    <row r="21" spans="1:9" s="330" customFormat="1" ht="12.75" customHeight="1" x14ac:dyDescent="0.25">
      <c r="A21" s="499"/>
      <c r="B21" s="500"/>
      <c r="C21" s="514"/>
      <c r="D21" s="502"/>
      <c r="E21" s="502">
        <f t="shared" si="0"/>
        <v>142970</v>
      </c>
      <c r="F21" s="503"/>
      <c r="G21" s="503">
        <f t="shared" si="1"/>
        <v>142970</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142970</v>
      </c>
      <c r="E23" s="405"/>
      <c r="F23" s="405">
        <f>SUM(F9:F22)</f>
        <v>142970</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8" t="s">
        <v>177</v>
      </c>
      <c r="D26" s="503"/>
      <c r="E26" s="503"/>
      <c r="F26" s="503"/>
      <c r="G26" s="503"/>
      <c r="H26" s="503"/>
      <c r="I26" s="504"/>
    </row>
    <row r="27" spans="1:9" s="330" customFormat="1" ht="12.75" customHeight="1" x14ac:dyDescent="0.25">
      <c r="A27" s="499"/>
      <c r="B27" s="501"/>
      <c r="C27" s="515" t="s">
        <v>176</v>
      </c>
      <c r="D27" s="503">
        <v>26100</v>
      </c>
      <c r="E27" s="503"/>
      <c r="F27" s="503">
        <v>26100</v>
      </c>
      <c r="G27" s="503"/>
      <c r="H27" s="503">
        <f>D27-F27</f>
        <v>0</v>
      </c>
      <c r="I27" s="504"/>
    </row>
    <row r="28" spans="1:9" s="330" customFormat="1" ht="12.75" customHeight="1" x14ac:dyDescent="0.25">
      <c r="A28" s="499"/>
      <c r="B28" s="501"/>
      <c r="C28" s="515" t="s">
        <v>255</v>
      </c>
      <c r="D28" s="503">
        <v>32300</v>
      </c>
      <c r="E28" s="503"/>
      <c r="F28" s="503">
        <f>19380+12920</f>
        <v>32300</v>
      </c>
      <c r="G28" s="503"/>
      <c r="H28" s="503">
        <f>D28-F28</f>
        <v>0</v>
      </c>
      <c r="I28" s="504"/>
    </row>
    <row r="29" spans="1:9" s="330" customFormat="1" ht="12.75" customHeight="1" x14ac:dyDescent="0.25">
      <c r="A29" s="499"/>
      <c r="B29" s="501"/>
      <c r="C29" s="515" t="s">
        <v>175</v>
      </c>
      <c r="D29" s="503">
        <v>34090</v>
      </c>
      <c r="E29" s="503"/>
      <c r="F29" s="503">
        <f>17045+15340.5+1704.5</f>
        <v>34090</v>
      </c>
      <c r="G29" s="503"/>
      <c r="H29" s="503">
        <f>D29-F29</f>
        <v>0</v>
      </c>
      <c r="I29" s="504"/>
    </row>
    <row r="30" spans="1:9" s="330" customFormat="1" ht="12.75" customHeight="1" thickBot="1" x14ac:dyDescent="0.3">
      <c r="A30" s="499"/>
      <c r="B30" s="501"/>
      <c r="C30" s="519" t="s">
        <v>119</v>
      </c>
      <c r="D30" s="405">
        <f>SUM(D27:D29)</f>
        <v>92490</v>
      </c>
      <c r="E30" s="519"/>
      <c r="F30" s="405">
        <f>SUM(F27:F29)</f>
        <v>92490</v>
      </c>
      <c r="G30" s="519"/>
      <c r="H30" s="405">
        <f>SUM(H27:H29)</f>
        <v>0</v>
      </c>
      <c r="I30" s="504"/>
    </row>
    <row r="31" spans="1:9" s="330" customFormat="1" ht="12.75" customHeight="1" thickTop="1" x14ac:dyDescent="0.25">
      <c r="A31" s="499"/>
      <c r="B31" s="501"/>
      <c r="C31" s="515"/>
      <c r="D31" s="503"/>
      <c r="E31" s="503"/>
      <c r="F31" s="503"/>
      <c r="G31" s="503"/>
      <c r="H31" s="503"/>
      <c r="I31" s="504"/>
    </row>
    <row r="32" spans="1:9" s="330" customFormat="1" ht="12.75" customHeight="1" x14ac:dyDescent="0.25">
      <c r="A32" s="499"/>
      <c r="B32" s="501"/>
      <c r="C32" s="518" t="s">
        <v>178</v>
      </c>
      <c r="D32" s="503"/>
      <c r="E32" s="503"/>
      <c r="F32" s="503"/>
      <c r="G32" s="503"/>
      <c r="H32" s="503"/>
      <c r="I32" s="504"/>
    </row>
    <row r="33" spans="1:9" s="330" customFormat="1" ht="12.75" customHeight="1" x14ac:dyDescent="0.25">
      <c r="A33" s="499"/>
      <c r="B33" s="501"/>
      <c r="C33" s="515" t="s">
        <v>176</v>
      </c>
      <c r="D33" s="503">
        <v>6200</v>
      </c>
      <c r="E33" s="503"/>
      <c r="F33" s="503">
        <f>6200</f>
        <v>6200</v>
      </c>
      <c r="G33" s="503"/>
      <c r="H33" s="503">
        <f>D33-F33</f>
        <v>0</v>
      </c>
      <c r="I33" s="504"/>
    </row>
    <row r="34" spans="1:9" s="330" customFormat="1" ht="12.75" customHeight="1" x14ac:dyDescent="0.25">
      <c r="A34" s="499"/>
      <c r="B34" s="501"/>
      <c r="C34" s="515" t="s">
        <v>255</v>
      </c>
      <c r="D34" s="503">
        <v>6800</v>
      </c>
      <c r="E34" s="503"/>
      <c r="F34" s="503">
        <f>4080+2720</f>
        <v>6800</v>
      </c>
      <c r="G34" s="503"/>
      <c r="H34" s="503">
        <f>D34-F34</f>
        <v>0</v>
      </c>
      <c r="I34" s="504"/>
    </row>
    <row r="35" spans="1:9" s="330" customFormat="1" ht="12.75" customHeight="1" x14ac:dyDescent="0.25">
      <c r="A35" s="499"/>
      <c r="B35" s="501"/>
      <c r="C35" s="515" t="s">
        <v>175</v>
      </c>
      <c r="D35" s="503">
        <v>7970</v>
      </c>
      <c r="E35" s="503"/>
      <c r="F35" s="503">
        <f>3985+3586.5+398.5</f>
        <v>7970</v>
      </c>
      <c r="G35" s="503"/>
      <c r="H35" s="503">
        <f>D35-F35</f>
        <v>0</v>
      </c>
      <c r="I35" s="504"/>
    </row>
    <row r="36" spans="1:9" s="330" customFormat="1" ht="12.75" customHeight="1" thickBot="1" x14ac:dyDescent="0.3">
      <c r="A36" s="499"/>
      <c r="B36" s="501"/>
      <c r="C36" s="519" t="s">
        <v>119</v>
      </c>
      <c r="D36" s="405">
        <f>SUM(D33:D35)</f>
        <v>20970</v>
      </c>
      <c r="E36" s="519"/>
      <c r="F36" s="405">
        <f>SUM(F33:F35)</f>
        <v>20970</v>
      </c>
      <c r="G36" s="519"/>
      <c r="H36" s="405">
        <f>SUM(H33:H35)</f>
        <v>0</v>
      </c>
      <c r="I36" s="504"/>
    </row>
    <row r="37" spans="1:9" s="330" customFormat="1" ht="12.75" customHeight="1" thickTop="1" x14ac:dyDescent="0.25">
      <c r="A37" s="499"/>
      <c r="B37" s="501"/>
      <c r="C37" s="515"/>
      <c r="D37" s="503"/>
      <c r="E37" s="503"/>
      <c r="F37" s="503"/>
      <c r="G37" s="503"/>
      <c r="H37" s="503"/>
      <c r="I37" s="504"/>
    </row>
    <row r="38" spans="1:9" s="330" customFormat="1" ht="12.75" customHeight="1" x14ac:dyDescent="0.25">
      <c r="A38" s="499"/>
      <c r="B38" s="501"/>
      <c r="C38" s="518" t="s">
        <v>1838</v>
      </c>
      <c r="D38" s="503"/>
      <c r="E38" s="503"/>
      <c r="F38" s="503"/>
      <c r="G38" s="503"/>
      <c r="H38" s="503"/>
      <c r="I38" s="504"/>
    </row>
    <row r="39" spans="1:9" s="330" customFormat="1" ht="12.75" customHeight="1" x14ac:dyDescent="0.25">
      <c r="A39" s="499"/>
      <c r="B39" s="501"/>
      <c r="C39" s="515" t="s">
        <v>176</v>
      </c>
      <c r="D39" s="503">
        <v>3500</v>
      </c>
      <c r="E39" s="503"/>
      <c r="F39" s="503">
        <f>3500</f>
        <v>3500</v>
      </c>
      <c r="G39" s="503"/>
      <c r="H39" s="503">
        <f>D39-F39</f>
        <v>0</v>
      </c>
      <c r="I39" s="504"/>
    </row>
    <row r="40" spans="1:9" s="330" customFormat="1" ht="12.75" customHeight="1" x14ac:dyDescent="0.25">
      <c r="A40" s="499"/>
      <c r="B40" s="501"/>
      <c r="C40" s="515" t="s">
        <v>255</v>
      </c>
      <c r="D40" s="503">
        <v>10600</v>
      </c>
      <c r="E40" s="503"/>
      <c r="F40" s="503">
        <f>1060+9540</f>
        <v>10600</v>
      </c>
      <c r="G40" s="503"/>
      <c r="H40" s="503">
        <f>D40-F40</f>
        <v>0</v>
      </c>
      <c r="I40" s="504"/>
    </row>
    <row r="41" spans="1:9" s="330" customFormat="1" ht="12.75" customHeight="1" x14ac:dyDescent="0.25">
      <c r="A41" s="499"/>
      <c r="B41" s="501"/>
      <c r="C41" s="515" t="s">
        <v>175</v>
      </c>
      <c r="D41" s="503">
        <v>15410</v>
      </c>
      <c r="E41" s="503"/>
      <c r="F41" s="503">
        <f>7705+6934.5+770.5</f>
        <v>15410</v>
      </c>
      <c r="G41" s="503"/>
      <c r="H41" s="503">
        <f>D41-F41</f>
        <v>0</v>
      </c>
      <c r="I41" s="504"/>
    </row>
    <row r="42" spans="1:9" s="330" customFormat="1" ht="12.75" customHeight="1" thickBot="1" x14ac:dyDescent="0.3">
      <c r="A42" s="499"/>
      <c r="B42" s="501"/>
      <c r="C42" s="519" t="s">
        <v>119</v>
      </c>
      <c r="D42" s="405">
        <f>SUM(D39:D41)</f>
        <v>29510</v>
      </c>
      <c r="E42" s="519"/>
      <c r="F42" s="405">
        <f>SUM(F39:F41)</f>
        <v>29510</v>
      </c>
      <c r="G42" s="519"/>
      <c r="H42" s="405">
        <f>SUM(H39:H41)</f>
        <v>0</v>
      </c>
      <c r="I42" s="504"/>
    </row>
    <row r="43" spans="1:9" s="330" customFormat="1" ht="12.75" customHeight="1" thickTop="1" x14ac:dyDescent="0.25">
      <c r="A43" s="499"/>
      <c r="B43" s="501"/>
      <c r="C43" s="515"/>
      <c r="D43" s="504"/>
      <c r="E43" s="499"/>
      <c r="F43" s="541"/>
      <c r="G43" s="541"/>
      <c r="H43" s="504"/>
      <c r="I43" s="504"/>
    </row>
    <row r="44" spans="1:9" s="330" customFormat="1" ht="12.75" customHeight="1" thickBot="1" x14ac:dyDescent="0.3">
      <c r="A44" s="499"/>
      <c r="B44" s="501"/>
      <c r="C44" s="519" t="s">
        <v>179</v>
      </c>
      <c r="D44" s="405">
        <f>SUM(D30+D36+D42)</f>
        <v>142970</v>
      </c>
      <c r="E44" s="519"/>
      <c r="F44" s="405">
        <f>SUM(F30+F36+F42)</f>
        <v>142970</v>
      </c>
      <c r="G44" s="519"/>
      <c r="H44" s="405">
        <f>SUM(H30+H36+H42)</f>
        <v>0</v>
      </c>
      <c r="I44" s="504"/>
    </row>
    <row r="45" spans="1:9" s="330" customFormat="1" ht="12.75" customHeight="1" thickTop="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A1:J87"/>
  <sheetViews>
    <sheetView tabSelected="1" topLeftCell="A22"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28515625" bestFit="1" customWidth="1"/>
  </cols>
  <sheetData>
    <row r="1" spans="1:10" ht="15.75" x14ac:dyDescent="0.25">
      <c r="A1" s="78" t="str">
        <f>'RECAP #9279.40'!B1</f>
        <v xml:space="preserve">HHS WRC Campus Utility Decentralization Phase 4 &amp; Fire Alarm Phase 3 </v>
      </c>
      <c r="B1" s="79"/>
      <c r="C1" s="79"/>
      <c r="D1" s="6"/>
      <c r="E1" s="6"/>
      <c r="F1" s="6"/>
      <c r="G1" s="124"/>
      <c r="H1" s="124"/>
      <c r="I1" s="125"/>
      <c r="J1" s="125"/>
    </row>
    <row r="2" spans="1:10" ht="15.75" x14ac:dyDescent="0.25">
      <c r="A2" s="81" t="str">
        <f>'RECAP #9279.40'!B2</f>
        <v>Project # 9279.40</v>
      </c>
      <c r="B2" s="80"/>
      <c r="C2" s="80"/>
      <c r="D2" s="6"/>
      <c r="E2" s="6"/>
      <c r="F2" s="6"/>
      <c r="G2" s="124"/>
      <c r="H2" s="124"/>
      <c r="I2" s="125"/>
      <c r="J2" s="125"/>
    </row>
    <row r="3" spans="1:10" ht="15.75" x14ac:dyDescent="0.25">
      <c r="A3" s="82" t="str">
        <f>'RECAP #9279.40'!B3</f>
        <v>Program code 927940</v>
      </c>
      <c r="B3" s="80"/>
      <c r="C3" s="80"/>
      <c r="D3" s="6"/>
      <c r="E3" s="83" t="str">
        <f>'RECAP #9279.40'!E3</f>
        <v>Major Program 4B02</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66</v>
      </c>
      <c r="B5" s="130"/>
      <c r="C5" s="130"/>
      <c r="D5" s="131"/>
      <c r="E5" s="132"/>
      <c r="F5" s="133"/>
      <c r="G5" s="134"/>
      <c r="H5" s="134"/>
      <c r="I5" s="130"/>
      <c r="J5" s="125"/>
    </row>
    <row r="6" spans="1:10" ht="15.75" x14ac:dyDescent="0.25">
      <c r="A6" s="86" t="str">
        <f>'RECAP #9279.40'!B6</f>
        <v>Project Manager - Jennifer K.</v>
      </c>
      <c r="B6" s="86"/>
      <c r="C6" s="86"/>
      <c r="D6" s="135"/>
      <c r="E6" s="132" t="s">
        <v>85</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f>127079</f>
        <v>127079</v>
      </c>
      <c r="F9" s="412">
        <f>E9</f>
        <v>127079</v>
      </c>
      <c r="G9" s="413"/>
      <c r="H9" s="413"/>
      <c r="I9" s="413">
        <f>F9</f>
        <v>127079</v>
      </c>
      <c r="J9" s="414"/>
    </row>
    <row r="10" spans="1:10" s="330" customFormat="1" ht="12.75" customHeight="1" x14ac:dyDescent="0.25">
      <c r="A10" s="456" t="s">
        <v>134</v>
      </c>
      <c r="B10" s="409">
        <v>45511</v>
      </c>
      <c r="C10" s="457">
        <v>2507</v>
      </c>
      <c r="D10" s="425" t="s">
        <v>135</v>
      </c>
      <c r="E10" s="412"/>
      <c r="F10" s="412">
        <f t="shared" ref="F10:F56" si="0">F9+E10</f>
        <v>127079</v>
      </c>
      <c r="G10" s="445">
        <f>38.94+20.33</f>
        <v>59.269999999999996</v>
      </c>
      <c r="H10" s="413">
        <f t="shared" ref="H10:H56" si="1">H9+G10</f>
        <v>59.269999999999996</v>
      </c>
      <c r="I10" s="413">
        <f t="shared" ref="I10:I56" si="2">I9-G10+E10</f>
        <v>127019.73</v>
      </c>
      <c r="J10" s="414"/>
    </row>
    <row r="11" spans="1:10" s="330" customFormat="1" ht="12.75" customHeight="1" x14ac:dyDescent="0.25">
      <c r="A11" s="456" t="s">
        <v>134</v>
      </c>
      <c r="B11" s="409">
        <v>45511</v>
      </c>
      <c r="C11" s="457">
        <v>9500</v>
      </c>
      <c r="D11" s="425" t="s">
        <v>136</v>
      </c>
      <c r="E11" s="412"/>
      <c r="F11" s="412">
        <f t="shared" si="0"/>
        <v>127079</v>
      </c>
      <c r="G11" s="445">
        <f>51+594</f>
        <v>645</v>
      </c>
      <c r="H11" s="413">
        <f t="shared" si="1"/>
        <v>704.27</v>
      </c>
      <c r="I11" s="413">
        <f t="shared" si="2"/>
        <v>126374.73</v>
      </c>
      <c r="J11" s="414"/>
    </row>
    <row r="12" spans="1:10" s="330" customFormat="1" ht="12.75" customHeight="1" x14ac:dyDescent="0.25">
      <c r="A12" s="456" t="s">
        <v>217</v>
      </c>
      <c r="B12" s="409">
        <v>45544</v>
      </c>
      <c r="C12" s="457">
        <v>2507</v>
      </c>
      <c r="D12" s="425" t="s">
        <v>218</v>
      </c>
      <c r="E12" s="412"/>
      <c r="F12" s="412">
        <f t="shared" si="0"/>
        <v>127079</v>
      </c>
      <c r="G12" s="445">
        <f>166.78+70.82</f>
        <v>237.6</v>
      </c>
      <c r="H12" s="413">
        <f t="shared" si="1"/>
        <v>941.87</v>
      </c>
      <c r="I12" s="413">
        <f t="shared" si="2"/>
        <v>126137.12999999999</v>
      </c>
      <c r="J12" s="414"/>
    </row>
    <row r="13" spans="1:10" s="330" customFormat="1" ht="12.75" customHeight="1" x14ac:dyDescent="0.25">
      <c r="A13" s="456" t="s">
        <v>217</v>
      </c>
      <c r="B13" s="409">
        <v>45544</v>
      </c>
      <c r="C13" s="457">
        <v>9500</v>
      </c>
      <c r="D13" s="425" t="s">
        <v>219</v>
      </c>
      <c r="E13" s="412"/>
      <c r="F13" s="412">
        <f t="shared" si="0"/>
        <v>127079</v>
      </c>
      <c r="G13" s="445">
        <f>87+1122</f>
        <v>1209</v>
      </c>
      <c r="H13" s="413">
        <f t="shared" si="1"/>
        <v>2150.87</v>
      </c>
      <c r="I13" s="413">
        <f t="shared" si="2"/>
        <v>124928.12999999999</v>
      </c>
      <c r="J13" s="414"/>
    </row>
    <row r="14" spans="1:10" s="330" customFormat="1" ht="12.75" customHeight="1" x14ac:dyDescent="0.25">
      <c r="A14" s="456" t="s">
        <v>274</v>
      </c>
      <c r="B14" s="409">
        <v>45574</v>
      </c>
      <c r="C14" s="457">
        <v>2507</v>
      </c>
      <c r="D14" s="425" t="s">
        <v>293</v>
      </c>
      <c r="E14" s="412"/>
      <c r="F14" s="412">
        <f t="shared" si="0"/>
        <v>127079</v>
      </c>
      <c r="G14" s="445">
        <f>214.61+77.83</f>
        <v>292.44</v>
      </c>
      <c r="H14" s="413">
        <f t="shared" si="1"/>
        <v>2443.31</v>
      </c>
      <c r="I14" s="413">
        <f t="shared" si="2"/>
        <v>124635.68999999999</v>
      </c>
      <c r="J14" s="414"/>
    </row>
    <row r="15" spans="1:10" s="330" customFormat="1" ht="12.75" customHeight="1" x14ac:dyDescent="0.25">
      <c r="A15" s="456" t="s">
        <v>274</v>
      </c>
      <c r="B15" s="409">
        <v>45574</v>
      </c>
      <c r="C15" s="457">
        <v>9500</v>
      </c>
      <c r="D15" s="425" t="s">
        <v>294</v>
      </c>
      <c r="E15" s="412"/>
      <c r="F15" s="412">
        <f t="shared" si="0"/>
        <v>127079</v>
      </c>
      <c r="G15" s="445">
        <f>168.5+2431</f>
        <v>2599.5</v>
      </c>
      <c r="H15" s="413">
        <f t="shared" si="1"/>
        <v>5042.8099999999995</v>
      </c>
      <c r="I15" s="413">
        <f t="shared" si="2"/>
        <v>122036.18999999999</v>
      </c>
      <c r="J15" s="414"/>
    </row>
    <row r="16" spans="1:10" s="330" customFormat="1" ht="12.75" customHeight="1" x14ac:dyDescent="0.25">
      <c r="A16" s="456" t="s">
        <v>314</v>
      </c>
      <c r="B16" s="409">
        <v>45603</v>
      </c>
      <c r="C16" s="457">
        <v>2507</v>
      </c>
      <c r="D16" s="425" t="s">
        <v>315</v>
      </c>
      <c r="E16" s="412"/>
      <c r="F16" s="412">
        <f t="shared" si="0"/>
        <v>127079</v>
      </c>
      <c r="G16" s="445">
        <f>220.96+450.17</f>
        <v>671.13</v>
      </c>
      <c r="H16" s="413">
        <f t="shared" si="1"/>
        <v>5713.94</v>
      </c>
      <c r="I16" s="413">
        <f t="shared" si="2"/>
        <v>121365.05999999998</v>
      </c>
      <c r="J16" s="414"/>
    </row>
    <row r="17" spans="1:10" s="330" customFormat="1" ht="12.75" customHeight="1" x14ac:dyDescent="0.25">
      <c r="A17" s="456" t="s">
        <v>314</v>
      </c>
      <c r="B17" s="409">
        <v>45603</v>
      </c>
      <c r="C17" s="457">
        <v>9500</v>
      </c>
      <c r="D17" s="425" t="s">
        <v>316</v>
      </c>
      <c r="E17" s="412"/>
      <c r="F17" s="412">
        <f t="shared" si="0"/>
        <v>127079</v>
      </c>
      <c r="G17" s="445">
        <f>341.5+4133.8</f>
        <v>4475.3</v>
      </c>
      <c r="H17" s="413">
        <f t="shared" si="1"/>
        <v>10189.24</v>
      </c>
      <c r="I17" s="413">
        <f t="shared" si="2"/>
        <v>116889.75999999998</v>
      </c>
      <c r="J17" s="414"/>
    </row>
    <row r="18" spans="1:10" s="330" customFormat="1" ht="12.75" customHeight="1" x14ac:dyDescent="0.25">
      <c r="A18" s="456" t="s">
        <v>343</v>
      </c>
      <c r="B18" s="468">
        <v>45635</v>
      </c>
      <c r="C18" s="469">
        <v>2507</v>
      </c>
      <c r="D18" s="458" t="s">
        <v>344</v>
      </c>
      <c r="E18" s="412"/>
      <c r="F18" s="412">
        <f t="shared" si="0"/>
        <v>127079</v>
      </c>
      <c r="G18" s="445">
        <f>100.32+181.61</f>
        <v>281.93</v>
      </c>
      <c r="H18" s="413">
        <f t="shared" si="1"/>
        <v>10471.17</v>
      </c>
      <c r="I18" s="413">
        <f t="shared" si="2"/>
        <v>116607.82999999999</v>
      </c>
      <c r="J18" s="414"/>
    </row>
    <row r="19" spans="1:10" s="330" customFormat="1" ht="12.75" customHeight="1" x14ac:dyDescent="0.25">
      <c r="A19" s="456" t="s">
        <v>343</v>
      </c>
      <c r="B19" s="468">
        <v>45635</v>
      </c>
      <c r="C19" s="469">
        <v>9500</v>
      </c>
      <c r="D19" s="231" t="s">
        <v>345</v>
      </c>
      <c r="E19" s="412"/>
      <c r="F19" s="412">
        <f t="shared" si="0"/>
        <v>127079</v>
      </c>
      <c r="G19" s="445">
        <f>125.5+1747.9</f>
        <v>1873.4</v>
      </c>
      <c r="H19" s="413">
        <f t="shared" si="1"/>
        <v>12344.57</v>
      </c>
      <c r="I19" s="413">
        <f t="shared" si="2"/>
        <v>114734.43</v>
      </c>
      <c r="J19" s="414"/>
    </row>
    <row r="20" spans="1:10" s="330" customFormat="1" ht="12.75" customHeight="1" x14ac:dyDescent="0.25">
      <c r="A20" s="456" t="s">
        <v>404</v>
      </c>
      <c r="B20" s="468">
        <v>45666</v>
      </c>
      <c r="C20" s="469">
        <v>2507</v>
      </c>
      <c r="D20" s="458" t="s">
        <v>405</v>
      </c>
      <c r="E20" s="412"/>
      <c r="F20" s="412">
        <f t="shared" si="0"/>
        <v>127079</v>
      </c>
      <c r="G20" s="445">
        <f>251.86+304.32</f>
        <v>556.18000000000006</v>
      </c>
      <c r="H20" s="413">
        <f t="shared" si="1"/>
        <v>12900.75</v>
      </c>
      <c r="I20" s="413">
        <f t="shared" si="2"/>
        <v>114178.25</v>
      </c>
      <c r="J20" s="414"/>
    </row>
    <row r="21" spans="1:10" s="330" customFormat="1" ht="12.75" customHeight="1" x14ac:dyDescent="0.25">
      <c r="A21" s="456" t="s">
        <v>404</v>
      </c>
      <c r="B21" s="468">
        <v>45666</v>
      </c>
      <c r="C21" s="469">
        <v>9500</v>
      </c>
      <c r="D21" s="231" t="s">
        <v>406</v>
      </c>
      <c r="E21" s="412"/>
      <c r="F21" s="412">
        <f t="shared" si="0"/>
        <v>127079</v>
      </c>
      <c r="G21" s="445">
        <f>397.5+5152.4</f>
        <v>5549.9</v>
      </c>
      <c r="H21" s="413">
        <f t="shared" si="1"/>
        <v>18450.650000000001</v>
      </c>
      <c r="I21" s="413">
        <f t="shared" si="2"/>
        <v>108628.35</v>
      </c>
      <c r="J21" s="414"/>
    </row>
    <row r="22" spans="1:10" s="330" customFormat="1" ht="12.75" customHeight="1" x14ac:dyDescent="0.25">
      <c r="A22" s="456" t="s">
        <v>506</v>
      </c>
      <c r="B22" s="468">
        <v>45699</v>
      </c>
      <c r="C22" s="469">
        <v>2507</v>
      </c>
      <c r="D22" s="458" t="s">
        <v>507</v>
      </c>
      <c r="E22" s="412"/>
      <c r="F22" s="412">
        <f t="shared" si="0"/>
        <v>127079</v>
      </c>
      <c r="G22" s="445">
        <f>216.31+269.26</f>
        <v>485.57</v>
      </c>
      <c r="H22" s="413">
        <f t="shared" si="1"/>
        <v>18936.22</v>
      </c>
      <c r="I22" s="413">
        <f t="shared" si="2"/>
        <v>108142.78</v>
      </c>
      <c r="J22" s="414"/>
    </row>
    <row r="23" spans="1:10" s="330" customFormat="1" ht="12.75" customHeight="1" x14ac:dyDescent="0.25">
      <c r="A23" s="456" t="s">
        <v>506</v>
      </c>
      <c r="B23" s="468">
        <v>45699</v>
      </c>
      <c r="C23" s="469">
        <v>9500</v>
      </c>
      <c r="D23" s="231" t="s">
        <v>508</v>
      </c>
      <c r="E23" s="412"/>
      <c r="F23" s="412">
        <f t="shared" si="0"/>
        <v>127079</v>
      </c>
      <c r="G23" s="445">
        <f>318+4856.5</f>
        <v>5174.5</v>
      </c>
      <c r="H23" s="413">
        <f t="shared" si="1"/>
        <v>24110.720000000001</v>
      </c>
      <c r="I23" s="413">
        <f t="shared" si="2"/>
        <v>102968.28</v>
      </c>
      <c r="J23" s="414"/>
    </row>
    <row r="24" spans="1:10" s="330" customFormat="1" ht="12.75" customHeight="1" x14ac:dyDescent="0.25">
      <c r="A24" s="456" t="s">
        <v>559</v>
      </c>
      <c r="B24" s="409">
        <v>45723</v>
      </c>
      <c r="C24" s="457">
        <v>2507</v>
      </c>
      <c r="D24" s="458" t="s">
        <v>560</v>
      </c>
      <c r="E24" s="412"/>
      <c r="F24" s="412">
        <f t="shared" si="0"/>
        <v>127079</v>
      </c>
      <c r="G24" s="445">
        <f>162.12+589.71</f>
        <v>751.83</v>
      </c>
      <c r="H24" s="413">
        <f t="shared" si="1"/>
        <v>24862.550000000003</v>
      </c>
      <c r="I24" s="413">
        <f t="shared" si="2"/>
        <v>102216.45</v>
      </c>
      <c r="J24" s="414"/>
    </row>
    <row r="25" spans="1:10" s="330" customFormat="1" ht="12.75" customHeight="1" x14ac:dyDescent="0.25">
      <c r="A25" s="456" t="s">
        <v>559</v>
      </c>
      <c r="B25" s="409">
        <v>45723</v>
      </c>
      <c r="C25" s="457">
        <v>9500</v>
      </c>
      <c r="D25" s="231" t="s">
        <v>561</v>
      </c>
      <c r="E25" s="412"/>
      <c r="F25" s="412">
        <f t="shared" si="0"/>
        <v>127079</v>
      </c>
      <c r="G25" s="445">
        <f>226.5+3027.2</f>
        <v>3253.7</v>
      </c>
      <c r="H25" s="413">
        <f t="shared" si="1"/>
        <v>28116.250000000004</v>
      </c>
      <c r="I25" s="413">
        <f t="shared" si="2"/>
        <v>98962.75</v>
      </c>
      <c r="J25" s="414"/>
    </row>
    <row r="26" spans="1:10" s="330" customFormat="1" ht="12.75" customHeight="1" x14ac:dyDescent="0.25">
      <c r="A26" s="456" t="s">
        <v>656</v>
      </c>
      <c r="B26" s="409">
        <v>45756</v>
      </c>
      <c r="C26" s="457">
        <v>2507</v>
      </c>
      <c r="D26" s="458" t="s">
        <v>657</v>
      </c>
      <c r="E26" s="412"/>
      <c r="F26" s="412">
        <f t="shared" si="0"/>
        <v>127079</v>
      </c>
      <c r="G26" s="445">
        <f>86.35+126.22</f>
        <v>212.57</v>
      </c>
      <c r="H26" s="413">
        <f t="shared" si="1"/>
        <v>28328.820000000003</v>
      </c>
      <c r="I26" s="413">
        <f t="shared" si="2"/>
        <v>98750.18</v>
      </c>
      <c r="J26" s="414"/>
    </row>
    <row r="27" spans="1:10" s="330" customFormat="1" ht="12.75" customHeight="1" x14ac:dyDescent="0.25">
      <c r="A27" s="456" t="s">
        <v>656</v>
      </c>
      <c r="B27" s="409">
        <v>45756</v>
      </c>
      <c r="C27" s="457">
        <v>9500</v>
      </c>
      <c r="D27" s="231" t="s">
        <v>658</v>
      </c>
      <c r="E27" s="412"/>
      <c r="F27" s="412">
        <f t="shared" si="0"/>
        <v>127079</v>
      </c>
      <c r="G27" s="445">
        <f>119+1399.2</f>
        <v>1518.2</v>
      </c>
      <c r="H27" s="413">
        <f t="shared" si="1"/>
        <v>29847.020000000004</v>
      </c>
      <c r="I27" s="413">
        <f t="shared" si="2"/>
        <v>97231.98</v>
      </c>
      <c r="J27" s="414"/>
    </row>
    <row r="28" spans="1:10" s="330" customFormat="1" ht="12.75" customHeight="1" x14ac:dyDescent="0.25">
      <c r="A28" s="456" t="s">
        <v>727</v>
      </c>
      <c r="B28" s="409">
        <v>45786</v>
      </c>
      <c r="C28" s="457">
        <v>2507</v>
      </c>
      <c r="D28" s="458" t="s">
        <v>729</v>
      </c>
      <c r="E28" s="412"/>
      <c r="F28" s="412">
        <f t="shared" si="0"/>
        <v>127079</v>
      </c>
      <c r="G28" s="445">
        <f>181.6+244.02</f>
        <v>425.62</v>
      </c>
      <c r="H28" s="413">
        <f t="shared" si="1"/>
        <v>30272.640000000003</v>
      </c>
      <c r="I28" s="413">
        <f t="shared" si="2"/>
        <v>96806.36</v>
      </c>
      <c r="J28" s="414"/>
    </row>
    <row r="29" spans="1:10" s="330" customFormat="1" ht="12.75" customHeight="1" x14ac:dyDescent="0.25">
      <c r="A29" s="456" t="s">
        <v>727</v>
      </c>
      <c r="B29" s="409">
        <v>45786</v>
      </c>
      <c r="C29" s="457">
        <v>9500</v>
      </c>
      <c r="D29" s="231" t="s">
        <v>730</v>
      </c>
      <c r="E29" s="412"/>
      <c r="F29" s="412">
        <f t="shared" si="0"/>
        <v>127079</v>
      </c>
      <c r="G29" s="445">
        <f>228.5+2696.1</f>
        <v>2924.6</v>
      </c>
      <c r="H29" s="413">
        <f t="shared" si="1"/>
        <v>33197.240000000005</v>
      </c>
      <c r="I29" s="413">
        <f t="shared" si="2"/>
        <v>93881.76</v>
      </c>
      <c r="J29" s="414"/>
    </row>
    <row r="30" spans="1:10" s="330" customFormat="1" ht="12.75" customHeight="1" x14ac:dyDescent="0.25">
      <c r="A30" s="456" t="s">
        <v>822</v>
      </c>
      <c r="B30" s="409">
        <v>45817</v>
      </c>
      <c r="C30" s="457">
        <v>2507</v>
      </c>
      <c r="D30" s="458" t="s">
        <v>823</v>
      </c>
      <c r="E30" s="412"/>
      <c r="F30" s="412">
        <f t="shared" si="0"/>
        <v>127079</v>
      </c>
      <c r="G30" s="445">
        <f>195.14+159.87</f>
        <v>355.01</v>
      </c>
      <c r="H30" s="413">
        <f t="shared" si="1"/>
        <v>33552.250000000007</v>
      </c>
      <c r="I30" s="413">
        <f t="shared" si="2"/>
        <v>93526.75</v>
      </c>
      <c r="J30" s="414"/>
    </row>
    <row r="31" spans="1:10" s="330" customFormat="1" ht="12.75" customHeight="1" x14ac:dyDescent="0.25">
      <c r="A31" s="456" t="s">
        <v>822</v>
      </c>
      <c r="B31" s="409">
        <v>45817</v>
      </c>
      <c r="C31" s="457">
        <v>9500</v>
      </c>
      <c r="D31" s="231" t="s">
        <v>824</v>
      </c>
      <c r="E31" s="412"/>
      <c r="F31" s="412">
        <f t="shared" si="0"/>
        <v>127079</v>
      </c>
      <c r="G31" s="445">
        <f>227+2555.3</f>
        <v>2782.3</v>
      </c>
      <c r="H31" s="413">
        <f t="shared" si="1"/>
        <v>36334.55000000001</v>
      </c>
      <c r="I31" s="413">
        <f t="shared" si="2"/>
        <v>90744.45</v>
      </c>
      <c r="J31" s="414"/>
    </row>
    <row r="32" spans="1:10" s="330" customFormat="1" ht="12.75" customHeight="1" x14ac:dyDescent="0.25">
      <c r="A32" s="456" t="s">
        <v>942</v>
      </c>
      <c r="B32" s="409">
        <v>45848</v>
      </c>
      <c r="C32" s="457">
        <v>2507</v>
      </c>
      <c r="D32" s="458" t="s">
        <v>943</v>
      </c>
      <c r="E32" s="412"/>
      <c r="F32" s="412">
        <f t="shared" si="0"/>
        <v>127079</v>
      </c>
      <c r="G32" s="445">
        <f>111.75+129.72</f>
        <v>241.47</v>
      </c>
      <c r="H32" s="413">
        <f t="shared" si="1"/>
        <v>36576.020000000011</v>
      </c>
      <c r="I32" s="413">
        <f t="shared" si="2"/>
        <v>90502.98</v>
      </c>
      <c r="J32" s="414"/>
    </row>
    <row r="33" spans="1:10" s="330" customFormat="1" ht="12.75" customHeight="1" x14ac:dyDescent="0.25">
      <c r="A33" s="456" t="s">
        <v>942</v>
      </c>
      <c r="B33" s="409">
        <v>45848</v>
      </c>
      <c r="C33" s="457">
        <v>9500</v>
      </c>
      <c r="D33" s="231" t="s">
        <v>944</v>
      </c>
      <c r="E33" s="412"/>
      <c r="F33" s="412">
        <f t="shared" si="0"/>
        <v>127079</v>
      </c>
      <c r="G33" s="445">
        <f>166+1708.3</f>
        <v>1874.3</v>
      </c>
      <c r="H33" s="413">
        <f t="shared" si="1"/>
        <v>38450.320000000014</v>
      </c>
      <c r="I33" s="413">
        <f t="shared" si="2"/>
        <v>88628.68</v>
      </c>
      <c r="J33" s="414"/>
    </row>
    <row r="34" spans="1:10" s="330" customFormat="1" ht="12.75" customHeight="1" x14ac:dyDescent="0.25">
      <c r="A34" s="456" t="s">
        <v>1009</v>
      </c>
      <c r="B34" s="409">
        <v>45876</v>
      </c>
      <c r="C34" s="457">
        <v>2507</v>
      </c>
      <c r="D34" s="458" t="s">
        <v>1010</v>
      </c>
      <c r="E34" s="412"/>
      <c r="F34" s="412">
        <f t="shared" si="0"/>
        <v>127079</v>
      </c>
      <c r="G34" s="445">
        <f>140.65+202.78</f>
        <v>343.43</v>
      </c>
      <c r="H34" s="413">
        <f t="shared" si="1"/>
        <v>38793.750000000015</v>
      </c>
      <c r="I34" s="413">
        <f t="shared" si="2"/>
        <v>88285.25</v>
      </c>
      <c r="J34" s="414"/>
    </row>
    <row r="35" spans="1:10" s="330" customFormat="1" ht="12.75" customHeight="1" x14ac:dyDescent="0.25">
      <c r="A35" s="456" t="s">
        <v>1009</v>
      </c>
      <c r="B35" s="409">
        <v>45876</v>
      </c>
      <c r="C35" s="457">
        <v>9500</v>
      </c>
      <c r="D35" s="231" t="s">
        <v>1011</v>
      </c>
      <c r="E35" s="412"/>
      <c r="F35" s="412">
        <f t="shared" si="0"/>
        <v>127079</v>
      </c>
      <c r="G35" s="445">
        <f>240+3524.4</f>
        <v>3764.4</v>
      </c>
      <c r="H35" s="413">
        <f t="shared" si="1"/>
        <v>42558.150000000016</v>
      </c>
      <c r="I35" s="413">
        <f t="shared" si="2"/>
        <v>84520.85</v>
      </c>
      <c r="J35" s="414"/>
    </row>
    <row r="36" spans="1:10" s="330" customFormat="1" ht="12.75" customHeight="1" x14ac:dyDescent="0.25">
      <c r="A36" s="456" t="s">
        <v>1177</v>
      </c>
      <c r="B36" s="409">
        <v>45908</v>
      </c>
      <c r="C36" s="457">
        <v>2507</v>
      </c>
      <c r="D36" s="458" t="s">
        <v>1182</v>
      </c>
      <c r="E36" s="412"/>
      <c r="F36" s="412">
        <f t="shared" si="0"/>
        <v>127079</v>
      </c>
      <c r="G36" s="445">
        <v>420.17</v>
      </c>
      <c r="H36" s="413">
        <f t="shared" si="1"/>
        <v>42978.320000000014</v>
      </c>
      <c r="I36" s="413">
        <f t="shared" si="2"/>
        <v>84100.680000000008</v>
      </c>
      <c r="J36" s="414"/>
    </row>
    <row r="37" spans="1:10" s="330" customFormat="1" ht="12.75" customHeight="1" x14ac:dyDescent="0.25">
      <c r="A37" s="456" t="s">
        <v>1177</v>
      </c>
      <c r="B37" s="409">
        <v>45908</v>
      </c>
      <c r="C37" s="457">
        <v>9500</v>
      </c>
      <c r="D37" s="231" t="s">
        <v>1181</v>
      </c>
      <c r="E37" s="412"/>
      <c r="F37" s="412">
        <f t="shared" si="0"/>
        <v>127079</v>
      </c>
      <c r="G37" s="445">
        <v>3234.2</v>
      </c>
      <c r="H37" s="413">
        <f t="shared" si="1"/>
        <v>46212.520000000011</v>
      </c>
      <c r="I37" s="413">
        <f t="shared" si="2"/>
        <v>80866.48000000001</v>
      </c>
      <c r="J37" s="414"/>
    </row>
    <row r="38" spans="1:10" s="330" customFormat="1" ht="12.75" customHeight="1" x14ac:dyDescent="0.25">
      <c r="A38" s="456" t="s">
        <v>1233</v>
      </c>
      <c r="B38" s="409">
        <v>45937</v>
      </c>
      <c r="C38" s="457" t="s">
        <v>1234</v>
      </c>
      <c r="D38" s="458" t="s">
        <v>1235</v>
      </c>
      <c r="E38" s="412"/>
      <c r="F38" s="412">
        <f t="shared" si="0"/>
        <v>127079</v>
      </c>
      <c r="G38" s="445">
        <v>1032.93</v>
      </c>
      <c r="H38" s="413">
        <f t="shared" si="1"/>
        <v>47245.450000000012</v>
      </c>
      <c r="I38" s="413">
        <f t="shared" si="2"/>
        <v>79833.550000000017</v>
      </c>
      <c r="J38" s="414"/>
    </row>
    <row r="39" spans="1:10" s="330" customFormat="1" ht="12.75" customHeight="1" x14ac:dyDescent="0.25">
      <c r="A39" s="456" t="s">
        <v>1233</v>
      </c>
      <c r="B39" s="409">
        <v>45937</v>
      </c>
      <c r="C39" s="457">
        <v>9500</v>
      </c>
      <c r="D39" s="231" t="s">
        <v>1236</v>
      </c>
      <c r="E39" s="412"/>
      <c r="F39" s="412">
        <f t="shared" si="0"/>
        <v>127079</v>
      </c>
      <c r="G39" s="445">
        <v>5311.4</v>
      </c>
      <c r="H39" s="413">
        <f t="shared" si="1"/>
        <v>52556.850000000013</v>
      </c>
      <c r="I39" s="413">
        <f t="shared" si="2"/>
        <v>74522.150000000023</v>
      </c>
      <c r="J39" s="414"/>
    </row>
    <row r="40" spans="1:10" s="330" customFormat="1" ht="12.75" customHeight="1" x14ac:dyDescent="0.25">
      <c r="A40" s="456" t="s">
        <v>1322</v>
      </c>
      <c r="B40" s="409">
        <v>45968</v>
      </c>
      <c r="C40" s="457" t="s">
        <v>1234</v>
      </c>
      <c r="D40" s="458" t="s">
        <v>1327</v>
      </c>
      <c r="E40" s="412"/>
      <c r="F40" s="412">
        <f t="shared" si="0"/>
        <v>127079</v>
      </c>
      <c r="G40" s="445">
        <v>604.45000000000005</v>
      </c>
      <c r="H40" s="413">
        <f t="shared" si="1"/>
        <v>53161.30000000001</v>
      </c>
      <c r="I40" s="413">
        <f t="shared" si="2"/>
        <v>73917.700000000026</v>
      </c>
      <c r="J40" s="414"/>
    </row>
    <row r="41" spans="1:10" s="330" customFormat="1" ht="12.75" customHeight="1" x14ac:dyDescent="0.25">
      <c r="A41" s="456" t="s">
        <v>1322</v>
      </c>
      <c r="B41" s="409">
        <v>45968</v>
      </c>
      <c r="C41" s="457">
        <v>9500</v>
      </c>
      <c r="D41" s="231" t="s">
        <v>1326</v>
      </c>
      <c r="E41" s="412"/>
      <c r="F41" s="412">
        <f t="shared" si="0"/>
        <v>127079</v>
      </c>
      <c r="G41" s="445">
        <v>6493.1</v>
      </c>
      <c r="H41" s="413">
        <f t="shared" si="1"/>
        <v>59654.400000000009</v>
      </c>
      <c r="I41" s="413">
        <f t="shared" si="2"/>
        <v>67424.60000000002</v>
      </c>
      <c r="J41" s="414"/>
    </row>
    <row r="42" spans="1:10" s="330" customFormat="1" ht="12.75" customHeight="1" x14ac:dyDescent="0.25">
      <c r="A42" s="456" t="s">
        <v>1423</v>
      </c>
      <c r="B42" s="409">
        <v>45996</v>
      </c>
      <c r="C42" s="412" t="s">
        <v>1234</v>
      </c>
      <c r="D42" s="458" t="s">
        <v>1424</v>
      </c>
      <c r="E42" s="412"/>
      <c r="F42" s="412">
        <f t="shared" si="0"/>
        <v>127079</v>
      </c>
      <c r="G42" s="445">
        <v>368.81</v>
      </c>
      <c r="H42" s="413">
        <f t="shared" si="1"/>
        <v>60023.210000000006</v>
      </c>
      <c r="I42" s="413">
        <f t="shared" si="2"/>
        <v>67055.790000000023</v>
      </c>
      <c r="J42" s="414"/>
    </row>
    <row r="43" spans="1:10" s="330" customFormat="1" ht="12.75" customHeight="1" x14ac:dyDescent="0.25">
      <c r="A43" s="456" t="s">
        <v>1423</v>
      </c>
      <c r="B43" s="409">
        <v>45996</v>
      </c>
      <c r="C43" s="484">
        <v>9500</v>
      </c>
      <c r="D43" s="231" t="s">
        <v>1425</v>
      </c>
      <c r="E43" s="412"/>
      <c r="F43" s="412">
        <f t="shared" si="0"/>
        <v>127079</v>
      </c>
      <c r="G43" s="445">
        <v>2346.4</v>
      </c>
      <c r="H43" s="413">
        <f t="shared" si="1"/>
        <v>62369.610000000008</v>
      </c>
      <c r="I43" s="413">
        <f t="shared" si="2"/>
        <v>64709.390000000021</v>
      </c>
      <c r="J43" s="414"/>
    </row>
    <row r="44" spans="1:10" s="330" customFormat="1" ht="12.75" customHeight="1" x14ac:dyDescent="0.25">
      <c r="A44" s="231" t="s">
        <v>1428</v>
      </c>
      <c r="B44" s="409">
        <v>46009</v>
      </c>
      <c r="C44" s="412" t="s">
        <v>1234</v>
      </c>
      <c r="D44" s="425" t="s">
        <v>1429</v>
      </c>
      <c r="E44" s="412"/>
      <c r="F44" s="412">
        <f t="shared" si="0"/>
        <v>127079</v>
      </c>
      <c r="G44" s="445">
        <v>116.55</v>
      </c>
      <c r="H44" s="413">
        <f t="shared" si="1"/>
        <v>62486.160000000011</v>
      </c>
      <c r="I44" s="413">
        <f t="shared" si="2"/>
        <v>64592.840000000018</v>
      </c>
      <c r="J44" s="414"/>
    </row>
    <row r="45" spans="1:10" s="330" customFormat="1" ht="12.75" customHeight="1" x14ac:dyDescent="0.25">
      <c r="A45" s="231" t="s">
        <v>1428</v>
      </c>
      <c r="B45" s="409">
        <v>46009</v>
      </c>
      <c r="C45" s="484">
        <v>9500</v>
      </c>
      <c r="D45" s="425" t="s">
        <v>1429</v>
      </c>
      <c r="E45" s="412"/>
      <c r="F45" s="412">
        <f t="shared" si="0"/>
        <v>127079</v>
      </c>
      <c r="G45" s="445">
        <v>741.5</v>
      </c>
      <c r="H45" s="413">
        <f t="shared" si="1"/>
        <v>63227.660000000011</v>
      </c>
      <c r="I45" s="413">
        <f t="shared" si="2"/>
        <v>63851.340000000018</v>
      </c>
      <c r="J45" s="414"/>
    </row>
    <row r="46" spans="1:10" s="330" customFormat="1" ht="12.75" customHeight="1" x14ac:dyDescent="0.2">
      <c r="A46" s="169" t="s">
        <v>1482</v>
      </c>
      <c r="B46" s="145">
        <v>46030</v>
      </c>
      <c r="C46" s="147" t="s">
        <v>1234</v>
      </c>
      <c r="D46" s="222" t="s">
        <v>1483</v>
      </c>
      <c r="E46" s="412"/>
      <c r="F46" s="412">
        <f t="shared" si="0"/>
        <v>127079</v>
      </c>
      <c r="G46" s="445">
        <v>569.47</v>
      </c>
      <c r="H46" s="413">
        <f t="shared" si="1"/>
        <v>63797.130000000012</v>
      </c>
      <c r="I46" s="413">
        <f t="shared" si="2"/>
        <v>63281.870000000017</v>
      </c>
      <c r="J46" s="414"/>
    </row>
    <row r="47" spans="1:10" s="330" customFormat="1" ht="12.75" customHeight="1" x14ac:dyDescent="0.2">
      <c r="A47" s="169" t="s">
        <v>1482</v>
      </c>
      <c r="B47" s="145">
        <v>46030</v>
      </c>
      <c r="C47" s="346">
        <v>9500</v>
      </c>
      <c r="D47" s="119" t="s">
        <v>1484</v>
      </c>
      <c r="E47" s="412"/>
      <c r="F47" s="412">
        <f t="shared" si="0"/>
        <v>127079</v>
      </c>
      <c r="G47" s="445">
        <v>6469.1</v>
      </c>
      <c r="H47" s="413">
        <f t="shared" si="1"/>
        <v>70266.23000000001</v>
      </c>
      <c r="I47" s="413">
        <f t="shared" si="2"/>
        <v>56812.770000000019</v>
      </c>
      <c r="J47" s="414"/>
    </row>
    <row r="48" spans="1:10" s="330" customFormat="1" ht="12.75" customHeight="1" x14ac:dyDescent="0.2">
      <c r="A48" s="169" t="s">
        <v>1545</v>
      </c>
      <c r="B48" s="145">
        <v>46062</v>
      </c>
      <c r="C48" s="147" t="s">
        <v>1234</v>
      </c>
      <c r="D48" s="222" t="s">
        <v>1546</v>
      </c>
      <c r="E48" s="412"/>
      <c r="F48" s="412">
        <f t="shared" si="0"/>
        <v>127079</v>
      </c>
      <c r="G48" s="445">
        <v>748.97</v>
      </c>
      <c r="H48" s="413">
        <f t="shared" si="1"/>
        <v>71015.200000000012</v>
      </c>
      <c r="I48" s="413">
        <f t="shared" si="2"/>
        <v>56063.800000000017</v>
      </c>
      <c r="J48" s="414"/>
    </row>
    <row r="49" spans="1:10" s="330" customFormat="1" ht="12.75" customHeight="1" x14ac:dyDescent="0.2">
      <c r="A49" s="169" t="s">
        <v>1545</v>
      </c>
      <c r="B49" s="145">
        <v>46062</v>
      </c>
      <c r="C49" s="346">
        <v>9500</v>
      </c>
      <c r="D49" s="119" t="s">
        <v>1547</v>
      </c>
      <c r="E49" s="412"/>
      <c r="F49" s="412">
        <f t="shared" si="0"/>
        <v>127079</v>
      </c>
      <c r="G49" s="445">
        <v>9304.9</v>
      </c>
      <c r="H49" s="413">
        <f t="shared" si="1"/>
        <v>80320.100000000006</v>
      </c>
      <c r="I49" s="413">
        <f t="shared" si="2"/>
        <v>46758.900000000016</v>
      </c>
      <c r="J49" s="414"/>
    </row>
    <row r="50" spans="1:10" s="330" customFormat="1" ht="12.75" customHeight="1" x14ac:dyDescent="0.2">
      <c r="A50" s="169" t="s">
        <v>1663</v>
      </c>
      <c r="B50" s="145">
        <v>46090</v>
      </c>
      <c r="C50" s="147" t="s">
        <v>1234</v>
      </c>
      <c r="D50" s="222" t="s">
        <v>1664</v>
      </c>
      <c r="E50" s="412"/>
      <c r="F50" s="412">
        <f t="shared" si="0"/>
        <v>127079</v>
      </c>
      <c r="G50" s="445">
        <v>444.73</v>
      </c>
      <c r="H50" s="413">
        <f t="shared" si="1"/>
        <v>80764.83</v>
      </c>
      <c r="I50" s="413">
        <f t="shared" si="2"/>
        <v>46314.170000000013</v>
      </c>
      <c r="J50" s="414"/>
    </row>
    <row r="51" spans="1:10" s="330" customFormat="1" ht="12.75" customHeight="1" x14ac:dyDescent="0.2">
      <c r="A51" s="169" t="s">
        <v>1663</v>
      </c>
      <c r="B51" s="145">
        <v>46090</v>
      </c>
      <c r="C51" s="346">
        <v>9500</v>
      </c>
      <c r="D51" s="119" t="s">
        <v>1665</v>
      </c>
      <c r="E51" s="412"/>
      <c r="F51" s="412">
        <f t="shared" si="0"/>
        <v>127079</v>
      </c>
      <c r="G51" s="445">
        <v>5125.2</v>
      </c>
      <c r="H51" s="413">
        <f t="shared" si="1"/>
        <v>85890.03</v>
      </c>
      <c r="I51" s="413">
        <f t="shared" si="2"/>
        <v>41188.970000000016</v>
      </c>
      <c r="J51" s="414"/>
    </row>
    <row r="52" spans="1:10" s="330" customFormat="1" ht="12.75" customHeight="1" x14ac:dyDescent="0.2">
      <c r="A52" s="169" t="s">
        <v>1751</v>
      </c>
      <c r="B52" s="145">
        <v>46118</v>
      </c>
      <c r="C52" s="147" t="s">
        <v>1234</v>
      </c>
      <c r="D52" s="222" t="s">
        <v>1752</v>
      </c>
      <c r="E52" s="412"/>
      <c r="F52" s="412">
        <f t="shared" si="0"/>
        <v>127079</v>
      </c>
      <c r="G52" s="445">
        <v>791.98</v>
      </c>
      <c r="H52" s="413">
        <f t="shared" si="1"/>
        <v>86682.01</v>
      </c>
      <c r="I52" s="413">
        <f t="shared" si="2"/>
        <v>40396.990000000013</v>
      </c>
      <c r="J52" s="414"/>
    </row>
    <row r="53" spans="1:10" s="330" customFormat="1" ht="12.75" customHeight="1" x14ac:dyDescent="0.2">
      <c r="A53" s="169" t="s">
        <v>1751</v>
      </c>
      <c r="B53" s="145">
        <v>46118</v>
      </c>
      <c r="C53" s="346">
        <v>9500</v>
      </c>
      <c r="D53" s="119" t="s">
        <v>1753</v>
      </c>
      <c r="E53" s="412"/>
      <c r="F53" s="412">
        <f t="shared" si="0"/>
        <v>127079</v>
      </c>
      <c r="G53" s="445">
        <v>6453.4</v>
      </c>
      <c r="H53" s="413">
        <f t="shared" si="1"/>
        <v>93135.409999999989</v>
      </c>
      <c r="I53" s="413">
        <f t="shared" si="2"/>
        <v>33943.590000000011</v>
      </c>
      <c r="J53" s="414"/>
    </row>
    <row r="54" spans="1:10" s="330" customFormat="1" ht="12.75" customHeight="1" x14ac:dyDescent="0.2">
      <c r="A54" s="169"/>
      <c r="B54" s="145"/>
      <c r="C54" s="346"/>
      <c r="D54" s="119"/>
      <c r="E54" s="412"/>
      <c r="F54" s="412">
        <f t="shared" si="0"/>
        <v>127079</v>
      </c>
      <c r="G54" s="422"/>
      <c r="H54" s="413">
        <f t="shared" si="1"/>
        <v>93135.409999999989</v>
      </c>
      <c r="I54" s="413">
        <f t="shared" si="2"/>
        <v>33943.590000000011</v>
      </c>
      <c r="J54" s="414"/>
    </row>
    <row r="55" spans="1:10" s="330" customFormat="1" ht="12.75" customHeight="1" x14ac:dyDescent="0.2">
      <c r="A55" s="169"/>
      <c r="B55" s="145"/>
      <c r="C55" s="346"/>
      <c r="D55" s="119"/>
      <c r="E55" s="412"/>
      <c r="F55" s="412">
        <f t="shared" si="0"/>
        <v>127079</v>
      </c>
      <c r="G55" s="422"/>
      <c r="H55" s="413">
        <f t="shared" si="1"/>
        <v>93135.409999999989</v>
      </c>
      <c r="I55" s="413">
        <f t="shared" si="2"/>
        <v>33943.590000000011</v>
      </c>
      <c r="J55" s="414"/>
    </row>
    <row r="56" spans="1:10" s="330" customFormat="1" ht="12.75" customHeight="1" x14ac:dyDescent="0.25">
      <c r="A56" s="456"/>
      <c r="B56"/>
      <c r="C56"/>
      <c r="D56"/>
      <c r="E56" s="412"/>
      <c r="F56" s="412">
        <f t="shared" si="0"/>
        <v>127079</v>
      </c>
      <c r="G56" s="422"/>
      <c r="H56" s="413">
        <f t="shared" si="1"/>
        <v>93135.409999999989</v>
      </c>
      <c r="I56" s="413">
        <f t="shared" si="2"/>
        <v>33943.590000000011</v>
      </c>
      <c r="J56" s="414"/>
    </row>
    <row r="57" spans="1:10" s="330" customFormat="1" ht="12.75" customHeight="1" x14ac:dyDescent="0.25">
      <c r="A57" s="231"/>
      <c r="B57" s="410"/>
      <c r="C57" s="457"/>
      <c r="D57" s="425"/>
      <c r="E57" s="413"/>
      <c r="F57" s="413"/>
      <c r="G57" s="413"/>
      <c r="H57" s="413"/>
      <c r="I57" s="413"/>
      <c r="J57" s="414"/>
    </row>
    <row r="58" spans="1:10" s="330" customFormat="1" ht="12.75" customHeight="1" thickBot="1" x14ac:dyDescent="0.3">
      <c r="A58" s="231"/>
      <c r="B58" s="449"/>
      <c r="C58" s="457"/>
      <c r="D58" s="450" t="s">
        <v>54</v>
      </c>
      <c r="E58" s="426">
        <f>SUM(E9:E57)</f>
        <v>127079</v>
      </c>
      <c r="F58" s="426"/>
      <c r="G58" s="426">
        <f>SUM(G9:G57)</f>
        <v>93135.409999999989</v>
      </c>
      <c r="H58" s="426"/>
      <c r="I58" s="426">
        <f>E58-G58</f>
        <v>33943.590000000011</v>
      </c>
      <c r="J58" s="414"/>
    </row>
    <row r="59" spans="1:10" s="330" customFormat="1" ht="12.75" customHeight="1" thickTop="1" x14ac:dyDescent="0.25"/>
    <row r="60" spans="1:10" s="330" customFormat="1" ht="12.75" customHeight="1" x14ac:dyDescent="0.25"/>
    <row r="61" spans="1:10" s="330" customFormat="1" ht="12.75" customHeight="1" x14ac:dyDescent="0.25"/>
    <row r="62" spans="1:10" s="330" customFormat="1" ht="12.75" customHeight="1" x14ac:dyDescent="0.25"/>
    <row r="63" spans="1:10" s="330" customFormat="1" ht="12.75" customHeight="1" x14ac:dyDescent="0.25"/>
    <row r="64" spans="1:10"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36" customWidth="1"/>
    <col min="5" max="5" width="25.42578125" customWidth="1"/>
    <col min="6" max="6" width="10.42578125" bestFit="1" customWidth="1"/>
    <col min="7" max="8" width="14.140625" bestFit="1" customWidth="1"/>
    <col min="9" max="11" width="9.140625" customWidth="1"/>
  </cols>
  <sheetData>
    <row r="1" spans="1:8" x14ac:dyDescent="0.25">
      <c r="A1" s="104" t="str">
        <f>'RECAP #9239.02'!B1</f>
        <v>DOC-NCF-IPI Homes or Iowa Facility Project Phase II(Warehouse)</v>
      </c>
      <c r="B1" s="7"/>
      <c r="C1" s="2"/>
      <c r="D1" s="3"/>
      <c r="E1" s="3"/>
      <c r="F1" s="7"/>
      <c r="G1" s="7"/>
      <c r="H1" s="7"/>
    </row>
    <row r="2" spans="1:8" x14ac:dyDescent="0.25">
      <c r="A2" s="105" t="str">
        <f>'RECAP #9239.02'!B2</f>
        <v>Project # 9239.02</v>
      </c>
      <c r="B2" s="7"/>
      <c r="C2" s="106" t="s">
        <v>3</v>
      </c>
      <c r="D2" s="1"/>
      <c r="E2" s="1"/>
      <c r="F2" s="7"/>
      <c r="G2" s="7"/>
      <c r="H2" s="7"/>
    </row>
    <row r="3" spans="1:8" x14ac:dyDescent="0.25">
      <c r="A3" s="107" t="str">
        <f>'RECAP #9239.02'!B3</f>
        <v>Program code 923902</v>
      </c>
      <c r="B3" s="7"/>
      <c r="C3" s="106" t="s">
        <v>3</v>
      </c>
      <c r="D3" s="108" t="str">
        <f>'RECAP #9239.02'!E3</f>
        <v>Major Program 4B01</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#9239.02'!B6</f>
        <v>Project Manager - Brad T.</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ht="12.75" customHeight="1" x14ac:dyDescent="0.25">
      <c r="A9" s="230"/>
      <c r="B9" s="231"/>
      <c r="C9" s="232"/>
      <c r="D9" s="233" t="s">
        <v>73</v>
      </c>
      <c r="E9" s="233" t="s">
        <v>442</v>
      </c>
      <c r="F9" s="234">
        <v>45673</v>
      </c>
      <c r="G9" s="235">
        <v>3500000</v>
      </c>
      <c r="H9" s="235">
        <f>G9</f>
        <v>3500000</v>
      </c>
    </row>
    <row r="10" spans="1:8" ht="12.75" customHeight="1" x14ac:dyDescent="0.25">
      <c r="A10" s="230"/>
      <c r="B10" s="230"/>
      <c r="C10" s="236"/>
      <c r="D10" s="233" t="s">
        <v>444</v>
      </c>
      <c r="E10" s="230" t="s">
        <v>445</v>
      </c>
      <c r="F10" s="230">
        <v>45678</v>
      </c>
      <c r="G10" s="470">
        <v>0</v>
      </c>
      <c r="H10" s="470">
        <v>0</v>
      </c>
    </row>
    <row r="11" spans="1:8" ht="12.75" customHeight="1" x14ac:dyDescent="0.25">
      <c r="A11" s="237"/>
      <c r="B11" s="236"/>
      <c r="C11" s="238"/>
      <c r="D11" s="233" t="s">
        <v>995</v>
      </c>
      <c r="E11" s="230" t="s">
        <v>996</v>
      </c>
      <c r="F11" s="230">
        <v>45881</v>
      </c>
      <c r="G11" s="471">
        <v>-3299991.35</v>
      </c>
      <c r="H11" s="471">
        <v>-3299991.35</v>
      </c>
    </row>
    <row r="12" spans="1:8" ht="12.75" customHeight="1" x14ac:dyDescent="0.25">
      <c r="A12" s="237"/>
      <c r="B12" s="236"/>
      <c r="C12" s="239"/>
      <c r="D12" s="233" t="s">
        <v>1208</v>
      </c>
      <c r="E12" s="230" t="s">
        <v>1079</v>
      </c>
      <c r="F12" s="230">
        <v>45903</v>
      </c>
      <c r="G12" s="344">
        <v>3299991.35</v>
      </c>
      <c r="H12" s="344">
        <v>3299991.35</v>
      </c>
    </row>
    <row r="13" spans="1:8" ht="12.75" customHeight="1" x14ac:dyDescent="0.25">
      <c r="A13" s="240"/>
      <c r="B13" s="241"/>
      <c r="C13" s="239"/>
      <c r="D13" s="233" t="s">
        <v>444</v>
      </c>
      <c r="E13" s="230" t="s">
        <v>1080</v>
      </c>
      <c r="F13" s="230">
        <v>45904</v>
      </c>
      <c r="G13" s="472">
        <f>3299991.35-3299991.35</f>
        <v>0</v>
      </c>
      <c r="H13" s="472">
        <f>3299991.35-3299991.35</f>
        <v>0</v>
      </c>
    </row>
    <row r="14" spans="1:8" ht="12.75" customHeight="1" x14ac:dyDescent="0.25">
      <c r="A14" s="237"/>
      <c r="B14" s="242"/>
      <c r="C14" s="239"/>
      <c r="D14" s="233" t="s">
        <v>1243</v>
      </c>
      <c r="E14" s="230" t="s">
        <v>1244</v>
      </c>
      <c r="F14" s="230">
        <v>45939</v>
      </c>
      <c r="G14" s="344">
        <v>200000</v>
      </c>
      <c r="H14" s="344">
        <v>200000</v>
      </c>
    </row>
    <row r="15" spans="1:8" ht="12.75" customHeight="1" x14ac:dyDescent="0.25">
      <c r="A15" s="237"/>
      <c r="B15" s="242"/>
      <c r="C15" s="243"/>
      <c r="D15" s="244"/>
      <c r="E15" s="241"/>
      <c r="F15" s="245"/>
      <c r="G15" s="246"/>
      <c r="H15" s="246"/>
    </row>
    <row r="16" spans="1:8" ht="12.75" customHeight="1" x14ac:dyDescent="0.25">
      <c r="A16" s="237"/>
      <c r="B16" s="242"/>
      <c r="C16" s="243" t="s">
        <v>3</v>
      </c>
      <c r="D16" s="244"/>
      <c r="E16" s="242"/>
      <c r="F16" s="245"/>
      <c r="G16" s="246"/>
      <c r="H16" s="246"/>
    </row>
    <row r="17" spans="1:8" ht="12.75" customHeight="1" x14ac:dyDescent="0.25">
      <c r="A17" s="237"/>
      <c r="B17" s="242"/>
      <c r="C17" s="243"/>
      <c r="D17" s="244"/>
      <c r="E17" s="242"/>
      <c r="F17" s="245"/>
      <c r="G17" s="247"/>
      <c r="H17" s="243"/>
    </row>
    <row r="18" spans="1:8" ht="12.75" customHeight="1" x14ac:dyDescent="0.25">
      <c r="A18" s="237"/>
      <c r="B18" s="248"/>
      <c r="C18" s="243"/>
      <c r="D18" s="244"/>
      <c r="E18" s="242"/>
      <c r="F18" s="245"/>
      <c r="G18" s="246"/>
      <c r="H18" s="246"/>
    </row>
    <row r="19" spans="1:8" ht="12.75" customHeight="1" x14ac:dyDescent="0.25">
      <c r="A19" s="237"/>
      <c r="B19" s="242"/>
      <c r="C19" s="243"/>
      <c r="D19" s="244"/>
      <c r="E19" s="242"/>
      <c r="F19" s="245"/>
      <c r="G19" s="246"/>
      <c r="H19" s="246"/>
    </row>
    <row r="20" spans="1:8" ht="12.75" customHeight="1" x14ac:dyDescent="0.25">
      <c r="A20" s="237"/>
      <c r="B20" s="242"/>
      <c r="C20" s="243"/>
      <c r="D20" s="244"/>
      <c r="E20" s="242"/>
      <c r="F20" s="245"/>
      <c r="G20" s="247"/>
      <c r="H20" s="243"/>
    </row>
    <row r="21" spans="1:8" ht="12.75" customHeight="1" x14ac:dyDescent="0.25">
      <c r="A21" s="237"/>
      <c r="B21" s="242"/>
      <c r="C21" s="243"/>
      <c r="D21" s="244"/>
      <c r="E21" s="242"/>
      <c r="F21" s="245"/>
      <c r="G21" s="247"/>
      <c r="H21" s="243"/>
    </row>
    <row r="22" spans="1:8" ht="12.75" customHeight="1" x14ac:dyDescent="0.25">
      <c r="A22" s="237"/>
      <c r="B22" s="242"/>
      <c r="C22" s="243"/>
      <c r="D22" s="244"/>
      <c r="E22" s="242"/>
      <c r="F22" s="237"/>
      <c r="G22" s="246"/>
      <c r="H22" s="246"/>
    </row>
    <row r="23" spans="1:8"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3700000</v>
      </c>
      <c r="H24" s="123">
        <f>SUM(H9:H23)</f>
        <v>3700000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pageSetUpPr fitToPage="1"/>
  </sheetPr>
  <dimension ref="A1:H29"/>
  <sheetViews>
    <sheetView tabSelected="1" zoomScaleNormal="100" workbookViewId="0">
      <selection activeCell="C38" sqref="C38"/>
    </sheetView>
  </sheetViews>
  <sheetFormatPr defaultColWidth="11.42578125" defaultRowHeight="15" customHeight="1" x14ac:dyDescent="0.25"/>
  <cols>
    <col min="1" max="1" width="18" customWidth="1"/>
    <col min="2" max="2" width="11" customWidth="1"/>
    <col min="3" max="3" width="8.5703125" customWidth="1"/>
    <col min="4" max="4" width="11.42578125" customWidth="1"/>
    <col min="5" max="5" width="35.42578125" customWidth="1"/>
    <col min="6" max="6" width="14.85546875" customWidth="1"/>
    <col min="7" max="7" width="12.42578125" customWidth="1"/>
    <col min="8" max="8" width="15.42578125" customWidth="1"/>
  </cols>
  <sheetData>
    <row r="1" spans="1:8" ht="15.75" x14ac:dyDescent="0.25">
      <c r="A1" s="78" t="str">
        <f>'RECAP #9279.40'!B1</f>
        <v xml:space="preserve">HHS WRC Campus Utility Decentralization Phase 4 &amp; Fire Alarm Phase 3 </v>
      </c>
      <c r="B1" s="79"/>
      <c r="C1" s="79"/>
      <c r="D1" s="79"/>
      <c r="E1" s="6"/>
      <c r="F1" s="6"/>
      <c r="G1" s="6"/>
      <c r="H1" s="124"/>
    </row>
    <row r="2" spans="1:8" ht="15.75" x14ac:dyDescent="0.25">
      <c r="A2" s="81" t="str">
        <f>'RECAP #9279.40'!B2</f>
        <v>Project # 9279.40</v>
      </c>
      <c r="B2" s="80"/>
      <c r="C2" s="80"/>
      <c r="D2" s="80"/>
      <c r="E2" s="6"/>
      <c r="F2" s="6"/>
      <c r="G2" s="6"/>
      <c r="H2" s="124"/>
    </row>
    <row r="3" spans="1:8" ht="15.75" x14ac:dyDescent="0.25">
      <c r="A3" s="82" t="str">
        <f>'RECAP #9279.40'!B3</f>
        <v>Program code 927940</v>
      </c>
      <c r="B3" s="80"/>
      <c r="C3" s="80"/>
      <c r="D3" s="80"/>
      <c r="E3" s="83" t="str">
        <f>'RECAP #9279.40'!E3</f>
        <v>Major Program 4B02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#9279.40'!B6</f>
        <v>Project Manager - Jennifer K.</v>
      </c>
      <c r="B6" s="86"/>
      <c r="C6" s="86"/>
      <c r="D6" s="86"/>
      <c r="E6" s="83" t="s">
        <v>770</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23" t="s">
        <v>895</v>
      </c>
      <c r="B9" s="409">
        <v>45838</v>
      </c>
      <c r="C9" s="455" t="s">
        <v>321</v>
      </c>
      <c r="D9" s="455" t="s">
        <v>322</v>
      </c>
      <c r="E9" s="459" t="s">
        <v>696</v>
      </c>
      <c r="F9" s="462" t="s">
        <v>896</v>
      </c>
      <c r="G9" s="445">
        <v>67.36</v>
      </c>
      <c r="H9" s="461">
        <f>G9</f>
        <v>67.36</v>
      </c>
    </row>
    <row r="10" spans="1:8" s="330" customFormat="1" ht="12.75" customHeight="1" x14ac:dyDescent="0.25">
      <c r="A10" s="456" t="s">
        <v>910</v>
      </c>
      <c r="B10" s="409">
        <v>45841</v>
      </c>
      <c r="C10" s="455" t="s">
        <v>321</v>
      </c>
      <c r="D10" s="455" t="s">
        <v>322</v>
      </c>
      <c r="E10" s="459" t="s">
        <v>696</v>
      </c>
      <c r="F10" s="381" t="s">
        <v>911</v>
      </c>
      <c r="G10" s="445">
        <v>740.05</v>
      </c>
      <c r="H10" s="461">
        <f>H9+G10</f>
        <v>807.41</v>
      </c>
    </row>
    <row r="11" spans="1:8" s="330" customFormat="1" ht="12.75" customHeight="1" x14ac:dyDescent="0.25">
      <c r="A11" s="456" t="s">
        <v>948</v>
      </c>
      <c r="B11" s="409">
        <v>45841</v>
      </c>
      <c r="C11" s="523" t="s">
        <v>321</v>
      </c>
      <c r="D11" s="409" t="s">
        <v>322</v>
      </c>
      <c r="E11" s="459" t="s">
        <v>947</v>
      </c>
      <c r="F11" s="381" t="s">
        <v>946</v>
      </c>
      <c r="G11" s="445">
        <v>3422</v>
      </c>
      <c r="H11" s="461">
        <f t="shared" ref="H11:H20" si="0">H10+G11</f>
        <v>4229.41</v>
      </c>
    </row>
    <row r="12" spans="1:8" s="330" customFormat="1" ht="12.75" customHeight="1" x14ac:dyDescent="0.25">
      <c r="A12" s="456" t="s">
        <v>964</v>
      </c>
      <c r="B12" s="409">
        <v>45853</v>
      </c>
      <c r="C12" s="455" t="s">
        <v>321</v>
      </c>
      <c r="D12" s="455" t="s">
        <v>322</v>
      </c>
      <c r="E12" s="459" t="s">
        <v>696</v>
      </c>
      <c r="F12" s="381" t="s">
        <v>965</v>
      </c>
      <c r="G12" s="445">
        <v>294.11</v>
      </c>
      <c r="H12" s="461">
        <f t="shared" si="0"/>
        <v>4523.5199999999995</v>
      </c>
    </row>
    <row r="13" spans="1:8" s="330" customFormat="1" ht="12.75" customHeight="1" x14ac:dyDescent="0.25">
      <c r="A13" s="456" t="s">
        <v>1221</v>
      </c>
      <c r="B13" s="409">
        <v>45933</v>
      </c>
      <c r="C13" s="455" t="s">
        <v>321</v>
      </c>
      <c r="D13" s="455" t="s">
        <v>322</v>
      </c>
      <c r="E13" s="459" t="s">
        <v>696</v>
      </c>
      <c r="F13" s="381" t="s">
        <v>1220</v>
      </c>
      <c r="G13" s="445">
        <v>14.25</v>
      </c>
      <c r="H13" s="461">
        <f t="shared" si="0"/>
        <v>4537.7699999999995</v>
      </c>
    </row>
    <row r="14" spans="1:8" s="330" customFormat="1" ht="12.75" customHeight="1" x14ac:dyDescent="0.25">
      <c r="A14" s="456" t="s">
        <v>1295</v>
      </c>
      <c r="B14" s="409">
        <v>45957</v>
      </c>
      <c r="C14" s="455">
        <v>9500</v>
      </c>
      <c r="D14" s="455" t="s">
        <v>322</v>
      </c>
      <c r="E14" s="456" t="s">
        <v>319</v>
      </c>
      <c r="F14" s="381" t="s">
        <v>1296</v>
      </c>
      <c r="G14" s="445">
        <v>544.5</v>
      </c>
      <c r="H14" s="461">
        <f t="shared" si="0"/>
        <v>5082.2699999999995</v>
      </c>
    </row>
    <row r="15" spans="1:8" s="330" customFormat="1" ht="12.75" customHeight="1" x14ac:dyDescent="0.25">
      <c r="A15" s="456" t="s">
        <v>1373</v>
      </c>
      <c r="B15" s="409">
        <v>45994</v>
      </c>
      <c r="C15" s="455">
        <v>9500</v>
      </c>
      <c r="D15" s="455" t="s">
        <v>322</v>
      </c>
      <c r="E15" s="459" t="s">
        <v>696</v>
      </c>
      <c r="F15" s="381" t="s">
        <v>1374</v>
      </c>
      <c r="G15" s="445">
        <v>15.6</v>
      </c>
      <c r="H15" s="461">
        <f t="shared" si="0"/>
        <v>5097.87</v>
      </c>
    </row>
    <row r="16" spans="1:8" s="330" customFormat="1" ht="12.75" customHeight="1" x14ac:dyDescent="0.25">
      <c r="A16" s="456" t="s">
        <v>1640</v>
      </c>
      <c r="B16" s="409">
        <v>46080</v>
      </c>
      <c r="C16" s="455">
        <v>9500</v>
      </c>
      <c r="D16" s="455" t="s">
        <v>322</v>
      </c>
      <c r="E16" s="459" t="s">
        <v>696</v>
      </c>
      <c r="F16" s="381" t="s">
        <v>1641</v>
      </c>
      <c r="G16" s="445">
        <v>200</v>
      </c>
      <c r="H16" s="461">
        <f t="shared" si="0"/>
        <v>5297.87</v>
      </c>
    </row>
    <row r="17" spans="1:8" s="330" customFormat="1" ht="12.75" customHeight="1" x14ac:dyDescent="0.25">
      <c r="A17" s="408" t="s">
        <v>1673</v>
      </c>
      <c r="B17" s="409">
        <v>46091</v>
      </c>
      <c r="C17" s="455">
        <v>9500</v>
      </c>
      <c r="D17" s="455" t="s">
        <v>322</v>
      </c>
      <c r="E17" s="459" t="s">
        <v>696</v>
      </c>
      <c r="F17" s="381" t="s">
        <v>1672</v>
      </c>
      <c r="G17" s="445">
        <v>223.72</v>
      </c>
      <c r="H17" s="461">
        <f t="shared" si="0"/>
        <v>5521.59</v>
      </c>
    </row>
    <row r="18" spans="1:8" s="330" customFormat="1" ht="12.75" customHeight="1" x14ac:dyDescent="0.25">
      <c r="A18" s="408" t="s">
        <v>1682</v>
      </c>
      <c r="B18" s="409">
        <v>46097</v>
      </c>
      <c r="C18" s="455">
        <v>9500</v>
      </c>
      <c r="D18" s="455" t="s">
        <v>322</v>
      </c>
      <c r="E18" s="459" t="s">
        <v>696</v>
      </c>
      <c r="F18" s="463" t="s">
        <v>1683</v>
      </c>
      <c r="G18" s="445">
        <v>26.62</v>
      </c>
      <c r="H18" s="461">
        <f t="shared" si="0"/>
        <v>5548.21</v>
      </c>
    </row>
    <row r="19" spans="1:8" s="330" customFormat="1" ht="12.75" customHeight="1" x14ac:dyDescent="0.25">
      <c r="A19" s="408"/>
      <c r="B19" s="409"/>
      <c r="C19" s="409"/>
      <c r="D19" s="409"/>
      <c r="E19" s="459"/>
      <c r="F19" s="463"/>
      <c r="G19" s="461"/>
      <c r="H19" s="461">
        <f t="shared" si="0"/>
        <v>5548.21</v>
      </c>
    </row>
    <row r="20" spans="1:8" s="330" customFormat="1" ht="12.75" customHeight="1" x14ac:dyDescent="0.25">
      <c r="A20" s="408"/>
      <c r="B20" s="409"/>
      <c r="C20" s="409"/>
      <c r="D20" s="409"/>
      <c r="E20" s="459"/>
      <c r="F20" s="463"/>
      <c r="G20" s="461"/>
      <c r="H20" s="461">
        <f t="shared" si="0"/>
        <v>5548.21</v>
      </c>
    </row>
    <row r="21" spans="1:8" s="330" customFormat="1" ht="12.75" customHeight="1" x14ac:dyDescent="0.25">
      <c r="A21" s="408"/>
      <c r="B21" s="425"/>
      <c r="C21" s="425"/>
      <c r="D21" s="425"/>
      <c r="E21" s="459"/>
      <c r="F21" s="461"/>
      <c r="G21" s="459"/>
      <c r="H21" s="461"/>
    </row>
    <row r="22" spans="1:8" s="330" customFormat="1" ht="12.75" customHeight="1" thickBot="1" x14ac:dyDescent="0.3">
      <c r="A22" s="465"/>
      <c r="B22" s="424"/>
      <c r="C22" s="424"/>
      <c r="D22" s="424"/>
      <c r="E22" s="466" t="s">
        <v>54</v>
      </c>
      <c r="F22" s="467"/>
      <c r="G22" s="426">
        <f>SUM(G9:G21)</f>
        <v>5548.21</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pageSetUpPr fitToPage="1"/>
  </sheetPr>
  <dimension ref="A1:I4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425781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188</v>
      </c>
      <c r="B4" s="126"/>
      <c r="C4" s="127"/>
      <c r="D4" s="128" t="s">
        <v>189</v>
      </c>
      <c r="E4" s="124"/>
      <c r="F4" s="124"/>
      <c r="G4" s="124"/>
      <c r="H4" s="125"/>
      <c r="I4" s="125"/>
    </row>
    <row r="5" spans="1:9" ht="15.75" x14ac:dyDescent="0.25">
      <c r="A5" s="129" t="s">
        <v>109</v>
      </c>
      <c r="B5" s="130"/>
      <c r="C5" s="131"/>
      <c r="D5" s="132" t="s">
        <v>190</v>
      </c>
      <c r="E5" s="133"/>
      <c r="F5" s="134"/>
      <c r="G5" s="134"/>
      <c r="H5" s="130"/>
      <c r="I5" s="125"/>
    </row>
    <row r="6" spans="1:9" ht="15.75" x14ac:dyDescent="0.25">
      <c r="A6" s="86" t="str">
        <f>'RECAP #9279.40'!B6</f>
        <v>Project Manager - Jennifer K.</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191</v>
      </c>
      <c r="B9" s="409">
        <v>45544</v>
      </c>
      <c r="C9" s="410" t="s">
        <v>107</v>
      </c>
      <c r="D9" s="411">
        <v>25245.040000000001</v>
      </c>
      <c r="E9" s="412">
        <f>D9</f>
        <v>25245.040000000001</v>
      </c>
      <c r="F9" s="413"/>
      <c r="G9" s="413"/>
      <c r="H9" s="413">
        <f>E9</f>
        <v>25245.040000000001</v>
      </c>
      <c r="I9" s="414"/>
    </row>
    <row r="10" spans="1:9" s="330" customFormat="1" ht="12.75" customHeight="1" x14ac:dyDescent="0.25">
      <c r="A10" s="408" t="s">
        <v>290</v>
      </c>
      <c r="B10" s="240">
        <v>45581</v>
      </c>
      <c r="C10" s="410" t="s">
        <v>291</v>
      </c>
      <c r="D10" s="412"/>
      <c r="E10" s="412">
        <f t="shared" ref="E10:E34" si="0">E9+D10</f>
        <v>25245.040000000001</v>
      </c>
      <c r="F10" s="445">
        <v>1098.79</v>
      </c>
      <c r="G10" s="413">
        <f t="shared" ref="G10:G34" si="1">G9+F10</f>
        <v>1098.79</v>
      </c>
      <c r="H10" s="413">
        <f t="shared" ref="H10:H34" si="2">H9-F10+D10</f>
        <v>24146.25</v>
      </c>
      <c r="I10" s="414"/>
    </row>
    <row r="11" spans="1:9" s="330" customFormat="1" ht="12.75" customHeight="1" x14ac:dyDescent="0.25">
      <c r="A11" s="408" t="s">
        <v>332</v>
      </c>
      <c r="B11" s="409">
        <v>45615</v>
      </c>
      <c r="C11" s="410" t="s">
        <v>333</v>
      </c>
      <c r="D11" s="412"/>
      <c r="E11" s="412">
        <f t="shared" si="0"/>
        <v>25245.040000000001</v>
      </c>
      <c r="F11" s="445">
        <v>1407.52</v>
      </c>
      <c r="G11" s="413">
        <f t="shared" si="1"/>
        <v>2506.31</v>
      </c>
      <c r="H11" s="413">
        <f t="shared" si="2"/>
        <v>22738.73</v>
      </c>
      <c r="I11" s="414"/>
    </row>
    <row r="12" spans="1:9" s="330" customFormat="1" ht="12.75" customHeight="1" x14ac:dyDescent="0.25">
      <c r="A12" s="408" t="s">
        <v>356</v>
      </c>
      <c r="B12" s="409">
        <v>45643</v>
      </c>
      <c r="C12" s="410" t="s">
        <v>357</v>
      </c>
      <c r="D12" s="412"/>
      <c r="E12" s="412">
        <f t="shared" si="0"/>
        <v>25245.040000000001</v>
      </c>
      <c r="F12" s="445">
        <v>3636.03</v>
      </c>
      <c r="G12" s="413">
        <f t="shared" si="1"/>
        <v>6142.34</v>
      </c>
      <c r="H12" s="413">
        <f t="shared" si="2"/>
        <v>19102.7</v>
      </c>
      <c r="I12" s="414"/>
    </row>
    <row r="13" spans="1:9" s="330" customFormat="1" ht="12.75" customHeight="1" x14ac:dyDescent="0.25">
      <c r="A13" s="408" t="s">
        <v>440</v>
      </c>
      <c r="B13" s="409">
        <v>45673</v>
      </c>
      <c r="C13" s="410" t="s">
        <v>441</v>
      </c>
      <c r="D13" s="412"/>
      <c r="E13" s="412">
        <f t="shared" si="0"/>
        <v>25245.040000000001</v>
      </c>
      <c r="F13" s="445">
        <v>6032.82</v>
      </c>
      <c r="G13" s="413">
        <f t="shared" si="1"/>
        <v>12175.16</v>
      </c>
      <c r="H13" s="413">
        <f t="shared" si="2"/>
        <v>13069.880000000001</v>
      </c>
      <c r="I13" s="414"/>
    </row>
    <row r="14" spans="1:9" s="330" customFormat="1" ht="12.75" customHeight="1" x14ac:dyDescent="0.25">
      <c r="A14" s="408" t="s">
        <v>514</v>
      </c>
      <c r="B14" s="409">
        <v>45705</v>
      </c>
      <c r="C14" s="410" t="s">
        <v>515</v>
      </c>
      <c r="D14" s="412"/>
      <c r="E14" s="412">
        <f t="shared" si="0"/>
        <v>25245.040000000001</v>
      </c>
      <c r="F14" s="445">
        <v>5054.8599999999997</v>
      </c>
      <c r="G14" s="413">
        <f t="shared" si="1"/>
        <v>17230.02</v>
      </c>
      <c r="H14" s="413">
        <f t="shared" si="2"/>
        <v>8015.0200000000013</v>
      </c>
      <c r="I14" s="414"/>
    </row>
    <row r="15" spans="1:9" s="330" customFormat="1" ht="12.75" customHeight="1" x14ac:dyDescent="0.25">
      <c r="A15" s="408" t="s">
        <v>191</v>
      </c>
      <c r="B15" s="409">
        <v>45721</v>
      </c>
      <c r="C15" s="410" t="s">
        <v>301</v>
      </c>
      <c r="D15" s="411">
        <v>28543.22</v>
      </c>
      <c r="E15" s="412">
        <f t="shared" si="0"/>
        <v>53788.26</v>
      </c>
      <c r="F15" s="422"/>
      <c r="G15" s="413">
        <f t="shared" si="1"/>
        <v>17230.02</v>
      </c>
      <c r="H15" s="413">
        <f t="shared" si="2"/>
        <v>36558.240000000005</v>
      </c>
      <c r="I15" s="414"/>
    </row>
    <row r="16" spans="1:9" s="330" customFormat="1" ht="12.75" customHeight="1" x14ac:dyDescent="0.25">
      <c r="A16" s="408" t="s">
        <v>579</v>
      </c>
      <c r="B16" s="409">
        <v>45737</v>
      </c>
      <c r="C16" s="410" t="s">
        <v>580</v>
      </c>
      <c r="D16" s="412"/>
      <c r="E16" s="412">
        <f t="shared" si="0"/>
        <v>53788.26</v>
      </c>
      <c r="F16" s="445">
        <v>7223.67</v>
      </c>
      <c r="G16" s="413">
        <f t="shared" si="1"/>
        <v>24453.690000000002</v>
      </c>
      <c r="H16" s="413">
        <f t="shared" si="2"/>
        <v>29334.570000000007</v>
      </c>
      <c r="I16" s="414"/>
    </row>
    <row r="17" spans="1:9" s="330" customFormat="1" ht="12.75" customHeight="1" x14ac:dyDescent="0.25">
      <c r="A17" s="408" t="s">
        <v>687</v>
      </c>
      <c r="B17" s="409">
        <v>45765</v>
      </c>
      <c r="C17" s="410" t="s">
        <v>688</v>
      </c>
      <c r="D17" s="412"/>
      <c r="E17" s="412">
        <f t="shared" si="0"/>
        <v>53788.26</v>
      </c>
      <c r="F17" s="445">
        <v>29282.26</v>
      </c>
      <c r="G17" s="413">
        <f t="shared" si="1"/>
        <v>53735.95</v>
      </c>
      <c r="H17" s="413">
        <f t="shared" si="2"/>
        <v>52.310000000008586</v>
      </c>
      <c r="I17" s="414"/>
    </row>
    <row r="18" spans="1:9" s="330" customFormat="1" ht="12.75" customHeight="1" x14ac:dyDescent="0.25">
      <c r="A18" s="408" t="s">
        <v>191</v>
      </c>
      <c r="B18" s="409">
        <v>45768</v>
      </c>
      <c r="C18" s="410" t="s">
        <v>403</v>
      </c>
      <c r="D18" s="411">
        <v>20620.59</v>
      </c>
      <c r="E18" s="412">
        <f t="shared" si="0"/>
        <v>74408.850000000006</v>
      </c>
      <c r="F18" s="422"/>
      <c r="G18" s="413">
        <f t="shared" si="1"/>
        <v>53735.95</v>
      </c>
      <c r="H18" s="413">
        <f t="shared" si="2"/>
        <v>20672.900000000009</v>
      </c>
      <c r="I18" s="414"/>
    </row>
    <row r="19" spans="1:9" s="330" customFormat="1" ht="12.75" customHeight="1" x14ac:dyDescent="0.25">
      <c r="A19" s="408" t="s">
        <v>758</v>
      </c>
      <c r="B19" s="409">
        <v>45796</v>
      </c>
      <c r="C19" s="410" t="s">
        <v>759</v>
      </c>
      <c r="D19" s="412"/>
      <c r="E19" s="412">
        <f t="shared" si="0"/>
        <v>74408.850000000006</v>
      </c>
      <c r="F19" s="445">
        <v>2673.46</v>
      </c>
      <c r="G19" s="413">
        <f t="shared" si="1"/>
        <v>56409.409999999996</v>
      </c>
      <c r="H19" s="413">
        <f t="shared" si="2"/>
        <v>17999.44000000001</v>
      </c>
      <c r="I19" s="414"/>
    </row>
    <row r="20" spans="1:9" s="330" customFormat="1" ht="12.75" customHeight="1" x14ac:dyDescent="0.25">
      <c r="A20" s="408" t="s">
        <v>850</v>
      </c>
      <c r="B20" s="409">
        <v>45821</v>
      </c>
      <c r="C20" s="410" t="s">
        <v>851</v>
      </c>
      <c r="D20" s="412"/>
      <c r="E20" s="412">
        <f t="shared" si="0"/>
        <v>74408.850000000006</v>
      </c>
      <c r="F20" s="445">
        <v>6226.46</v>
      </c>
      <c r="G20" s="413">
        <f t="shared" si="1"/>
        <v>62635.869999999995</v>
      </c>
      <c r="H20" s="413">
        <f t="shared" si="2"/>
        <v>11772.98000000001</v>
      </c>
      <c r="I20" s="414"/>
    </row>
    <row r="21" spans="1:9" s="330" customFormat="1" ht="12.75" customHeight="1" x14ac:dyDescent="0.25">
      <c r="A21" s="415" t="s">
        <v>968</v>
      </c>
      <c r="B21" s="480">
        <v>45859</v>
      </c>
      <c r="C21" s="498" t="s">
        <v>969</v>
      </c>
      <c r="D21" s="418"/>
      <c r="E21" s="418">
        <f t="shared" si="0"/>
        <v>74408.850000000006</v>
      </c>
      <c r="F21" s="419">
        <v>5899.89</v>
      </c>
      <c r="G21" s="420">
        <f t="shared" si="1"/>
        <v>68535.759999999995</v>
      </c>
      <c r="H21" s="420">
        <f t="shared" si="2"/>
        <v>5873.0900000000101</v>
      </c>
      <c r="I21" s="421" t="s">
        <v>1015</v>
      </c>
    </row>
    <row r="22" spans="1:9" s="330" customFormat="1" ht="12.75" customHeight="1" x14ac:dyDescent="0.25">
      <c r="A22" s="408" t="s">
        <v>1031</v>
      </c>
      <c r="B22" s="409">
        <v>45889</v>
      </c>
      <c r="C22" s="410" t="s">
        <v>1017</v>
      </c>
      <c r="D22" s="411">
        <v>0</v>
      </c>
      <c r="E22" s="412">
        <f t="shared" si="0"/>
        <v>74408.850000000006</v>
      </c>
      <c r="F22" s="445"/>
      <c r="G22" s="413">
        <f t="shared" si="1"/>
        <v>68535.759999999995</v>
      </c>
      <c r="H22" s="413">
        <f t="shared" si="2"/>
        <v>5873.0900000000101</v>
      </c>
      <c r="I22" s="414"/>
    </row>
    <row r="23" spans="1:9" s="330" customFormat="1" ht="12.75" customHeight="1" x14ac:dyDescent="0.25">
      <c r="A23" s="408" t="s">
        <v>1115</v>
      </c>
      <c r="B23" s="409">
        <v>45911</v>
      </c>
      <c r="C23" s="410" t="s">
        <v>1116</v>
      </c>
      <c r="D23" s="412"/>
      <c r="E23" s="412">
        <f t="shared" si="0"/>
        <v>74408.850000000006</v>
      </c>
      <c r="F23" s="445">
        <v>1651.42</v>
      </c>
      <c r="G23" s="413">
        <f t="shared" si="1"/>
        <v>70187.179999999993</v>
      </c>
      <c r="H23" s="413">
        <f t="shared" si="2"/>
        <v>4221.6700000000101</v>
      </c>
      <c r="I23" s="414"/>
    </row>
    <row r="24" spans="1:9" s="330" customFormat="1" ht="12.75" customHeight="1" x14ac:dyDescent="0.25">
      <c r="A24" s="408" t="s">
        <v>1031</v>
      </c>
      <c r="B24" s="409">
        <v>45916</v>
      </c>
      <c r="C24" s="410" t="s">
        <v>625</v>
      </c>
      <c r="D24" s="411">
        <v>21038.6</v>
      </c>
      <c r="E24" s="412">
        <f t="shared" si="0"/>
        <v>95447.450000000012</v>
      </c>
      <c r="F24" s="445"/>
      <c r="G24" s="413">
        <f t="shared" si="1"/>
        <v>70187.179999999993</v>
      </c>
      <c r="H24" s="413">
        <f t="shared" si="2"/>
        <v>25260.270000000008</v>
      </c>
      <c r="I24" s="414"/>
    </row>
    <row r="25" spans="1:9" s="330" customFormat="1" ht="12.75" customHeight="1" x14ac:dyDescent="0.25">
      <c r="A25" s="408" t="s">
        <v>1274</v>
      </c>
      <c r="B25" s="409">
        <v>45947</v>
      </c>
      <c r="C25" s="410" t="s">
        <v>1275</v>
      </c>
      <c r="D25" s="411"/>
      <c r="E25" s="412">
        <f t="shared" si="0"/>
        <v>95447.450000000012</v>
      </c>
      <c r="F25" s="445">
        <v>6615.07</v>
      </c>
      <c r="G25" s="413">
        <f t="shared" si="1"/>
        <v>76802.25</v>
      </c>
      <c r="H25" s="413">
        <f t="shared" si="2"/>
        <v>18645.200000000008</v>
      </c>
      <c r="I25" s="414"/>
    </row>
    <row r="26" spans="1:9" s="330" customFormat="1" ht="12.75" customHeight="1" x14ac:dyDescent="0.25">
      <c r="A26" s="408" t="s">
        <v>1361</v>
      </c>
      <c r="B26" s="409">
        <v>45980</v>
      </c>
      <c r="C26" s="410" t="s">
        <v>1362</v>
      </c>
      <c r="D26" s="411"/>
      <c r="E26" s="412">
        <f t="shared" si="0"/>
        <v>95447.450000000012</v>
      </c>
      <c r="F26" s="445">
        <v>6854.84</v>
      </c>
      <c r="G26" s="413">
        <f t="shared" si="1"/>
        <v>83657.09</v>
      </c>
      <c r="H26" s="413">
        <f t="shared" si="2"/>
        <v>11790.360000000008</v>
      </c>
      <c r="I26" s="414"/>
    </row>
    <row r="27" spans="1:9" s="330" customFormat="1" ht="12.75" customHeight="1" x14ac:dyDescent="0.25">
      <c r="A27" s="408" t="s">
        <v>1031</v>
      </c>
      <c r="B27" s="409">
        <v>46006</v>
      </c>
      <c r="C27" s="410" t="s">
        <v>771</v>
      </c>
      <c r="D27" s="411">
        <v>7414.33</v>
      </c>
      <c r="E27" s="412">
        <f t="shared" si="0"/>
        <v>102861.78000000001</v>
      </c>
      <c r="F27" s="445"/>
      <c r="G27" s="413">
        <f t="shared" si="1"/>
        <v>83657.09</v>
      </c>
      <c r="H27" s="413">
        <f t="shared" si="2"/>
        <v>19204.69000000001</v>
      </c>
      <c r="I27" s="414"/>
    </row>
    <row r="28" spans="1:9" s="330" customFormat="1" ht="12.75" customHeight="1" x14ac:dyDescent="0.25">
      <c r="A28" s="408" t="s">
        <v>1412</v>
      </c>
      <c r="B28" s="409">
        <v>46007</v>
      </c>
      <c r="C28" s="410" t="s">
        <v>1413</v>
      </c>
      <c r="D28" s="411"/>
      <c r="E28" s="412">
        <f t="shared" si="0"/>
        <v>102861.78000000001</v>
      </c>
      <c r="F28" s="445">
        <v>10894.67</v>
      </c>
      <c r="G28" s="413">
        <f t="shared" si="1"/>
        <v>94551.76</v>
      </c>
      <c r="H28" s="413">
        <f t="shared" si="2"/>
        <v>8310.0200000000095</v>
      </c>
      <c r="I28" s="414"/>
    </row>
    <row r="29" spans="1:9" s="330" customFormat="1" x14ac:dyDescent="0.25">
      <c r="A29" s="408" t="s">
        <v>1498</v>
      </c>
      <c r="B29" s="409">
        <v>46042</v>
      </c>
      <c r="C29" s="410" t="s">
        <v>1499</v>
      </c>
      <c r="D29" s="411"/>
      <c r="E29" s="412">
        <f t="shared" si="0"/>
        <v>102861.78000000001</v>
      </c>
      <c r="F29" s="445">
        <v>4739.3999999999996</v>
      </c>
      <c r="G29" s="413">
        <f t="shared" si="1"/>
        <v>99291.159999999989</v>
      </c>
      <c r="H29" s="413">
        <f t="shared" si="2"/>
        <v>3570.6200000000099</v>
      </c>
      <c r="I29" s="414"/>
    </row>
    <row r="30" spans="1:9" s="330" customFormat="1" x14ac:dyDescent="0.25">
      <c r="A30" s="408" t="s">
        <v>1031</v>
      </c>
      <c r="B30" s="409">
        <v>46059</v>
      </c>
      <c r="C30" s="410" t="s">
        <v>280</v>
      </c>
      <c r="D30" s="411">
        <v>24703.88</v>
      </c>
      <c r="E30" s="412">
        <f t="shared" si="0"/>
        <v>127565.66000000002</v>
      </c>
      <c r="F30" s="445"/>
      <c r="G30" s="413">
        <f t="shared" si="1"/>
        <v>99291.159999999989</v>
      </c>
      <c r="H30" s="413">
        <f t="shared" si="2"/>
        <v>28274.500000000011</v>
      </c>
      <c r="I30" s="414"/>
    </row>
    <row r="31" spans="1:9" s="330" customFormat="1" x14ac:dyDescent="0.25">
      <c r="A31" s="408" t="s">
        <v>1696</v>
      </c>
      <c r="B31" s="409">
        <v>46099</v>
      </c>
      <c r="C31" s="410" t="s">
        <v>1697</v>
      </c>
      <c r="D31" s="411"/>
      <c r="E31" s="412">
        <f t="shared" si="0"/>
        <v>127565.66000000002</v>
      </c>
      <c r="F31" s="445">
        <v>11309.63</v>
      </c>
      <c r="G31" s="413">
        <f t="shared" si="1"/>
        <v>110600.79</v>
      </c>
      <c r="H31" s="413">
        <f t="shared" si="2"/>
        <v>16964.87000000001</v>
      </c>
      <c r="I31" s="414"/>
    </row>
    <row r="32" spans="1:9" s="330" customFormat="1" x14ac:dyDescent="0.25">
      <c r="A32" s="408" t="s">
        <v>1791</v>
      </c>
      <c r="B32" s="409">
        <v>46133</v>
      </c>
      <c r="C32" s="410" t="s">
        <v>1792</v>
      </c>
      <c r="D32" s="411"/>
      <c r="E32" s="412">
        <f t="shared" si="0"/>
        <v>127565.66000000002</v>
      </c>
      <c r="F32" s="445">
        <v>4423.12</v>
      </c>
      <c r="G32" s="413">
        <f t="shared" si="1"/>
        <v>115023.90999999999</v>
      </c>
      <c r="H32" s="413">
        <f t="shared" si="2"/>
        <v>12541.750000000011</v>
      </c>
      <c r="I32" s="414"/>
    </row>
    <row r="33" spans="1:9" s="330" customFormat="1" x14ac:dyDescent="0.25">
      <c r="A33" s="408"/>
      <c r="B33" s="409"/>
      <c r="C33" s="410"/>
      <c r="D33" s="411"/>
      <c r="E33" s="412">
        <f t="shared" si="0"/>
        <v>127565.66000000002</v>
      </c>
      <c r="F33" s="445"/>
      <c r="G33" s="413">
        <f t="shared" si="1"/>
        <v>115023.90999999999</v>
      </c>
      <c r="H33" s="413">
        <f t="shared" si="2"/>
        <v>12541.750000000011</v>
      </c>
      <c r="I33" s="414"/>
    </row>
    <row r="34" spans="1:9" s="330" customFormat="1" ht="12.75" customHeight="1" x14ac:dyDescent="0.25">
      <c r="A34" s="408"/>
      <c r="B34" s="409"/>
      <c r="C34" s="410"/>
      <c r="D34" s="411"/>
      <c r="E34" s="412">
        <f t="shared" si="0"/>
        <v>127565.66000000002</v>
      </c>
      <c r="F34" s="445"/>
      <c r="G34" s="413">
        <f t="shared" si="1"/>
        <v>115023.90999999999</v>
      </c>
      <c r="H34" s="413">
        <f t="shared" si="2"/>
        <v>12541.750000000011</v>
      </c>
      <c r="I34" s="414"/>
    </row>
    <row r="35" spans="1:9" s="330" customFormat="1" ht="12.75" customHeight="1" x14ac:dyDescent="0.25">
      <c r="A35" s="408"/>
      <c r="B35" s="410"/>
      <c r="C35" s="425"/>
      <c r="D35" s="413"/>
      <c r="E35" s="413"/>
      <c r="F35" s="413"/>
      <c r="G35" s="413"/>
      <c r="H35" s="413"/>
      <c r="I35" s="414"/>
    </row>
    <row r="36" spans="1:9" s="330" customFormat="1" ht="12.75" customHeight="1" thickBot="1" x14ac:dyDescent="0.3">
      <c r="A36" s="408"/>
      <c r="B36" s="449"/>
      <c r="C36" s="450" t="s">
        <v>54</v>
      </c>
      <c r="D36" s="426">
        <f>SUM(D9:D35)</f>
        <v>127565.66000000002</v>
      </c>
      <c r="E36" s="426"/>
      <c r="F36" s="426">
        <f>SUM(F9:F35)</f>
        <v>115023.90999999999</v>
      </c>
      <c r="G36" s="426"/>
      <c r="H36" s="426">
        <f>D36-F36</f>
        <v>12541.750000000029</v>
      </c>
      <c r="I36" s="414"/>
    </row>
    <row r="37" spans="1:9" s="330" customFormat="1" ht="12.75" customHeight="1" thickTop="1" x14ac:dyDescent="0.25">
      <c r="A37" s="408"/>
      <c r="B37" s="410"/>
      <c r="C37" s="425"/>
      <c r="D37" s="413"/>
      <c r="E37" s="413"/>
      <c r="F37" s="413"/>
      <c r="G37" s="413"/>
      <c r="H37" s="413"/>
      <c r="I37" s="414"/>
    </row>
    <row r="38" spans="1:9" s="330" customFormat="1" ht="12.75" customHeight="1" x14ac:dyDescent="0.25">
      <c r="A38" s="408"/>
      <c r="B38" s="410"/>
      <c r="C38" s="425"/>
      <c r="D38" s="413"/>
      <c r="E38" s="413"/>
      <c r="F38" s="413"/>
      <c r="G38" s="413"/>
      <c r="H38" s="413"/>
      <c r="I38" s="414"/>
    </row>
    <row r="39" spans="1:9" s="330" customFormat="1" ht="12.75" customHeight="1" x14ac:dyDescent="0.25">
      <c r="A39" s="408"/>
      <c r="B39" s="410"/>
      <c r="C39" s="425" t="s">
        <v>192</v>
      </c>
      <c r="D39" s="413">
        <v>25156.54</v>
      </c>
      <c r="E39" s="413"/>
      <c r="F39" s="413">
        <f>1098.79+1348.52+3636.03+6003.32+5054.86+7223.67+791.35</f>
        <v>25156.54</v>
      </c>
      <c r="G39" s="413"/>
      <c r="H39" s="413">
        <f t="shared" ref="H39:H45" si="3">D39-F39</f>
        <v>0</v>
      </c>
      <c r="I39" s="414"/>
    </row>
    <row r="40" spans="1:9" s="330" customFormat="1" ht="12.75" customHeight="1" x14ac:dyDescent="0.25">
      <c r="A40" s="408"/>
      <c r="B40" s="410"/>
      <c r="C40" s="425" t="s">
        <v>156</v>
      </c>
      <c r="D40" s="413">
        <v>88.5</v>
      </c>
      <c r="E40" s="413"/>
      <c r="F40" s="413">
        <f>59+29.5</f>
        <v>88.5</v>
      </c>
      <c r="G40" s="413"/>
      <c r="H40" s="413">
        <f t="shared" si="3"/>
        <v>0</v>
      </c>
      <c r="I40" s="414"/>
    </row>
    <row r="41" spans="1:9" s="330" customFormat="1" ht="12.75" customHeight="1" x14ac:dyDescent="0.25">
      <c r="A41" s="408"/>
      <c r="B41" s="410"/>
      <c r="C41" s="425" t="s">
        <v>301</v>
      </c>
      <c r="D41" s="413">
        <v>28543.22</v>
      </c>
      <c r="E41" s="413"/>
      <c r="F41" s="413">
        <f>28490.91+29.5+22.81</f>
        <v>28543.22</v>
      </c>
      <c r="G41" s="413"/>
      <c r="H41" s="413">
        <f t="shared" si="3"/>
        <v>0</v>
      </c>
      <c r="I41" s="414"/>
    </row>
    <row r="42" spans="1:9" s="330" customFormat="1" ht="12.75" customHeight="1" x14ac:dyDescent="0.25">
      <c r="A42" s="408"/>
      <c r="B42" s="410"/>
      <c r="C42" s="425" t="s">
        <v>403</v>
      </c>
      <c r="D42" s="413">
        <v>20620.59</v>
      </c>
      <c r="E42" s="413"/>
      <c r="F42" s="413">
        <f>2673.46+6196.96+5877.08+1651.42+4221.67</f>
        <v>20620.589999999997</v>
      </c>
      <c r="G42" s="413"/>
      <c r="H42" s="413">
        <f t="shared" si="3"/>
        <v>0</v>
      </c>
      <c r="I42" s="414"/>
    </row>
    <row r="43" spans="1:9" s="330" customFormat="1" ht="12.75" customHeight="1" x14ac:dyDescent="0.25">
      <c r="A43" s="408"/>
      <c r="B43" s="410"/>
      <c r="C43" s="425" t="s">
        <v>625</v>
      </c>
      <c r="D43" s="413">
        <v>21038.6</v>
      </c>
      <c r="E43" s="413"/>
      <c r="F43" s="413">
        <f>2393.4+6854.84+10894.67+836.69+59</f>
        <v>21038.6</v>
      </c>
      <c r="G43" s="413"/>
      <c r="H43" s="413">
        <f t="shared" si="3"/>
        <v>0</v>
      </c>
      <c r="I43" s="414"/>
    </row>
    <row r="44" spans="1:9" s="330" customFormat="1" ht="12.75" customHeight="1" x14ac:dyDescent="0.25">
      <c r="A44" s="408"/>
      <c r="B44" s="410"/>
      <c r="C44" s="425" t="s">
        <v>771</v>
      </c>
      <c r="D44" s="413">
        <v>7414.33</v>
      </c>
      <c r="E44" s="413"/>
      <c r="F44" s="413">
        <f>4739.4+2674.93</f>
        <v>7414.33</v>
      </c>
      <c r="G44" s="413"/>
      <c r="H44" s="413">
        <f t="shared" si="3"/>
        <v>0</v>
      </c>
      <c r="I44" s="414"/>
    </row>
    <row r="45" spans="1:9" s="330" customFormat="1" ht="12.75" customHeight="1" x14ac:dyDescent="0.25">
      <c r="A45" s="408"/>
      <c r="B45" s="410"/>
      <c r="C45" s="425" t="s">
        <v>280</v>
      </c>
      <c r="D45" s="413">
        <v>24703.88</v>
      </c>
      <c r="E45" s="413"/>
      <c r="F45" s="413">
        <f>10472.94+1689.19</f>
        <v>12162.130000000001</v>
      </c>
      <c r="G45" s="413"/>
      <c r="H45" s="413">
        <f t="shared" si="3"/>
        <v>12541.75</v>
      </c>
      <c r="I45" s="414"/>
    </row>
    <row r="46" spans="1:9" s="330" customFormat="1" ht="12.75" customHeight="1" thickBot="1" x14ac:dyDescent="0.3">
      <c r="A46" s="408"/>
      <c r="B46" s="410"/>
      <c r="C46" s="427" t="s">
        <v>555</v>
      </c>
      <c r="D46" s="426">
        <f>SUM(D39:D45)</f>
        <v>127565.66000000002</v>
      </c>
      <c r="E46" s="427"/>
      <c r="F46" s="426">
        <f>SUM(F39:F45)</f>
        <v>115023.91000000002</v>
      </c>
      <c r="G46" s="427"/>
      <c r="H46" s="426">
        <f>SUM(H39:H45)</f>
        <v>12541.75</v>
      </c>
      <c r="I46" s="491"/>
    </row>
    <row r="47" spans="1:9" s="330" customFormat="1" ht="12.75" customHeight="1" thickTop="1" x14ac:dyDescent="0.25">
      <c r="A47" s="408"/>
      <c r="B47" s="410"/>
      <c r="C47" s="427"/>
      <c r="D47" s="427"/>
      <c r="E47" s="427"/>
      <c r="F47" s="427"/>
      <c r="G47" s="427"/>
      <c r="H47" s="427"/>
      <c r="I47" s="491"/>
    </row>
    <row r="48" spans="1:9" s="33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tabColor rgb="FF0070C0"/>
    <pageSetUpPr fitToPage="1"/>
  </sheetPr>
  <dimension ref="A1:I21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199</v>
      </c>
      <c r="B4" s="126"/>
      <c r="C4" s="181"/>
      <c r="D4" s="185" t="s">
        <v>200</v>
      </c>
      <c r="E4" s="180"/>
      <c r="F4" s="180"/>
      <c r="G4" s="180"/>
      <c r="H4" s="181"/>
      <c r="I4" s="181"/>
    </row>
    <row r="5" spans="1:9" ht="15.75" x14ac:dyDescent="0.25">
      <c r="A5" s="186" t="s">
        <v>109</v>
      </c>
      <c r="B5" s="181"/>
      <c r="C5" s="187"/>
      <c r="D5" s="132" t="s">
        <v>201</v>
      </c>
      <c r="E5" s="137"/>
      <c r="F5" s="180"/>
      <c r="G5" s="180"/>
      <c r="H5" s="181"/>
      <c r="I5" s="181"/>
    </row>
    <row r="6" spans="1:9" ht="15.75" x14ac:dyDescent="0.25">
      <c r="A6" s="126" t="str">
        <f>'RECAP #9279.40'!B6</f>
        <v>Project Manager - Jennifer K.</v>
      </c>
      <c r="B6" s="126"/>
      <c r="C6" s="188"/>
      <c r="D6" s="189" t="s">
        <v>202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215</v>
      </c>
      <c r="B9" s="500">
        <v>45552</v>
      </c>
      <c r="C9" s="501" t="s">
        <v>107</v>
      </c>
      <c r="D9" s="404">
        <v>34907.5</v>
      </c>
      <c r="E9" s="502">
        <f>D9</f>
        <v>34907.5</v>
      </c>
      <c r="F9" s="503"/>
      <c r="G9" s="503"/>
      <c r="H9" s="503">
        <f>E9</f>
        <v>34907.5</v>
      </c>
      <c r="I9" s="504"/>
    </row>
    <row r="10" spans="1:9" s="330" customFormat="1" ht="12.75" customHeight="1" x14ac:dyDescent="0.25">
      <c r="A10" s="499" t="s">
        <v>215</v>
      </c>
      <c r="B10" s="365">
        <v>45670</v>
      </c>
      <c r="C10" s="501" t="s">
        <v>301</v>
      </c>
      <c r="D10" s="404">
        <v>1000</v>
      </c>
      <c r="E10" s="502">
        <f t="shared" ref="E10:E21" si="0">E9+D10</f>
        <v>35907.5</v>
      </c>
      <c r="F10" s="406"/>
      <c r="G10" s="503">
        <f t="shared" ref="G10:G21" si="1">G9+F10</f>
        <v>0</v>
      </c>
      <c r="H10" s="503">
        <f t="shared" ref="H10:H21" si="2">H9-F10+D10</f>
        <v>35907.5</v>
      </c>
      <c r="I10" s="504"/>
    </row>
    <row r="11" spans="1:9" s="330" customFormat="1" ht="12.75" customHeight="1" x14ac:dyDescent="0.25">
      <c r="A11" s="499" t="s">
        <v>598</v>
      </c>
      <c r="B11" s="500">
        <v>45744</v>
      </c>
      <c r="C11" s="501" t="s">
        <v>599</v>
      </c>
      <c r="D11" s="512">
        <v>-10572.5</v>
      </c>
      <c r="E11" s="502">
        <f t="shared" si="0"/>
        <v>25335</v>
      </c>
      <c r="F11" s="406">
        <v>25335</v>
      </c>
      <c r="G11" s="503">
        <f t="shared" si="1"/>
        <v>25335</v>
      </c>
      <c r="H11" s="503">
        <f t="shared" si="2"/>
        <v>0</v>
      </c>
      <c r="I11" s="504"/>
    </row>
    <row r="12" spans="1:9" s="330" customFormat="1" ht="12.75" customHeight="1" x14ac:dyDescent="0.25">
      <c r="A12" s="499"/>
      <c r="B12" s="500"/>
      <c r="C12" s="501"/>
      <c r="D12" s="502"/>
      <c r="E12" s="502">
        <f t="shared" si="0"/>
        <v>25335</v>
      </c>
      <c r="F12" s="406"/>
      <c r="G12" s="503">
        <f t="shared" si="1"/>
        <v>25335</v>
      </c>
      <c r="H12" s="503">
        <f t="shared" si="2"/>
        <v>0</v>
      </c>
      <c r="I12" s="504"/>
    </row>
    <row r="13" spans="1:9" s="330" customFormat="1" ht="12.75" customHeight="1" x14ac:dyDescent="0.25">
      <c r="A13" s="499"/>
      <c r="B13" s="500"/>
      <c r="C13" s="501"/>
      <c r="D13" s="502"/>
      <c r="E13" s="502">
        <f t="shared" si="0"/>
        <v>25335</v>
      </c>
      <c r="F13" s="406"/>
      <c r="G13" s="503">
        <f t="shared" si="1"/>
        <v>25335</v>
      </c>
      <c r="H13" s="503">
        <f t="shared" si="2"/>
        <v>0</v>
      </c>
      <c r="I13" s="504"/>
    </row>
    <row r="14" spans="1:9" s="330" customFormat="1" ht="12.75" customHeight="1" x14ac:dyDescent="0.25">
      <c r="A14" s="499"/>
      <c r="B14" s="500"/>
      <c r="C14" s="501"/>
      <c r="D14" s="502"/>
      <c r="E14" s="502">
        <f t="shared" si="0"/>
        <v>25335</v>
      </c>
      <c r="F14" s="503"/>
      <c r="G14" s="503">
        <f t="shared" si="1"/>
        <v>25335</v>
      </c>
      <c r="H14" s="503">
        <f t="shared" si="2"/>
        <v>0</v>
      </c>
      <c r="I14" s="504"/>
    </row>
    <row r="15" spans="1:9" s="330" customFormat="1" ht="12.75" customHeight="1" x14ac:dyDescent="0.25">
      <c r="A15" s="499"/>
      <c r="B15" s="500"/>
      <c r="C15" s="501"/>
      <c r="D15" s="502"/>
      <c r="E15" s="502">
        <f t="shared" si="0"/>
        <v>25335</v>
      </c>
      <c r="F15" s="406"/>
      <c r="G15" s="503">
        <f t="shared" si="1"/>
        <v>25335</v>
      </c>
      <c r="H15" s="503">
        <f t="shared" si="2"/>
        <v>0</v>
      </c>
      <c r="I15" s="504"/>
    </row>
    <row r="16" spans="1:9" s="330" customFormat="1" ht="12.75" customHeight="1" x14ac:dyDescent="0.25">
      <c r="A16" s="499"/>
      <c r="B16" s="500"/>
      <c r="C16" s="501"/>
      <c r="D16" s="502"/>
      <c r="E16" s="502">
        <f t="shared" si="0"/>
        <v>25335</v>
      </c>
      <c r="F16" s="406"/>
      <c r="G16" s="503">
        <f t="shared" si="1"/>
        <v>25335</v>
      </c>
      <c r="H16" s="503">
        <f t="shared" si="2"/>
        <v>0</v>
      </c>
      <c r="I16" s="504"/>
    </row>
    <row r="17" spans="1:9" s="330" customFormat="1" ht="12.75" customHeight="1" x14ac:dyDescent="0.25">
      <c r="A17" s="499"/>
      <c r="B17" s="500"/>
      <c r="C17" s="501"/>
      <c r="D17" s="502"/>
      <c r="E17" s="502">
        <f t="shared" si="0"/>
        <v>25335</v>
      </c>
      <c r="F17" s="406"/>
      <c r="G17" s="503">
        <f t="shared" si="1"/>
        <v>25335</v>
      </c>
      <c r="H17" s="503">
        <f t="shared" si="2"/>
        <v>0</v>
      </c>
      <c r="I17" s="504"/>
    </row>
    <row r="18" spans="1:9" s="330" customFormat="1" ht="12.75" customHeight="1" x14ac:dyDescent="0.25">
      <c r="A18" s="499"/>
      <c r="B18" s="500"/>
      <c r="C18" s="501"/>
      <c r="D18" s="502"/>
      <c r="E18" s="502">
        <f t="shared" si="0"/>
        <v>25335</v>
      </c>
      <c r="F18" s="406"/>
      <c r="G18" s="503">
        <f t="shared" si="1"/>
        <v>25335</v>
      </c>
      <c r="H18" s="503">
        <f t="shared" si="2"/>
        <v>0</v>
      </c>
      <c r="I18" s="504"/>
    </row>
    <row r="19" spans="1:9" s="330" customFormat="1" ht="12.75" customHeight="1" x14ac:dyDescent="0.25">
      <c r="A19" s="499"/>
      <c r="B19" s="500"/>
      <c r="C19" s="501"/>
      <c r="D19" s="502"/>
      <c r="E19" s="502">
        <f t="shared" si="0"/>
        <v>25335</v>
      </c>
      <c r="F19" s="503"/>
      <c r="G19" s="503">
        <f t="shared" si="1"/>
        <v>25335</v>
      </c>
      <c r="H19" s="503">
        <f t="shared" si="2"/>
        <v>0</v>
      </c>
      <c r="I19" s="504"/>
    </row>
    <row r="20" spans="1:9" s="330" customFormat="1" ht="12.75" customHeight="1" x14ac:dyDescent="0.25">
      <c r="A20" s="499"/>
      <c r="B20" s="500"/>
      <c r="C20" s="501"/>
      <c r="D20" s="502"/>
      <c r="E20" s="502">
        <f t="shared" si="0"/>
        <v>25335</v>
      </c>
      <c r="F20" s="503"/>
      <c r="G20" s="503">
        <f t="shared" si="1"/>
        <v>25335</v>
      </c>
      <c r="H20" s="503">
        <f t="shared" si="2"/>
        <v>0</v>
      </c>
      <c r="I20" s="504"/>
    </row>
    <row r="21" spans="1:9" s="330" customFormat="1" ht="12.75" customHeight="1" x14ac:dyDescent="0.25">
      <c r="A21" s="499"/>
      <c r="B21" s="500"/>
      <c r="C21" s="514"/>
      <c r="D21" s="502"/>
      <c r="E21" s="502">
        <f t="shared" si="0"/>
        <v>25335</v>
      </c>
      <c r="F21" s="503"/>
      <c r="G21" s="503">
        <f t="shared" si="1"/>
        <v>25335</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25335</v>
      </c>
      <c r="E23" s="405"/>
      <c r="F23" s="405">
        <f>SUM(F9:F22)</f>
        <v>25335</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8" t="s">
        <v>203</v>
      </c>
      <c r="D26" s="503"/>
      <c r="E26" s="503"/>
      <c r="F26" s="503"/>
      <c r="G26" s="503"/>
      <c r="H26" s="503"/>
      <c r="I26" s="504"/>
    </row>
    <row r="27" spans="1:9" s="330" customFormat="1" ht="12.75" customHeight="1" x14ac:dyDescent="0.25">
      <c r="A27" s="499"/>
      <c r="B27" s="501"/>
      <c r="C27" s="515" t="s">
        <v>1832</v>
      </c>
      <c r="D27" s="503">
        <f>800-300</f>
        <v>500</v>
      </c>
      <c r="E27" s="503"/>
      <c r="F27" s="503">
        <f>500</f>
        <v>500</v>
      </c>
      <c r="G27" s="503"/>
      <c r="H27" s="503">
        <f>D27-F27</f>
        <v>0</v>
      </c>
      <c r="I27" s="504"/>
    </row>
    <row r="28" spans="1:9" s="330" customFormat="1" ht="12.75" customHeight="1" x14ac:dyDescent="0.25">
      <c r="A28" s="499"/>
      <c r="B28" s="501"/>
      <c r="C28" s="515" t="s">
        <v>204</v>
      </c>
      <c r="D28" s="503">
        <f>375-375</f>
        <v>0</v>
      </c>
      <c r="E28" s="503"/>
      <c r="F28" s="503"/>
      <c r="G28" s="503"/>
      <c r="H28" s="503">
        <f>D28-F28</f>
        <v>0</v>
      </c>
      <c r="I28" s="504"/>
    </row>
    <row r="29" spans="1:9" s="330" customFormat="1" ht="12.75" customHeight="1" x14ac:dyDescent="0.25">
      <c r="A29" s="499"/>
      <c r="B29" s="501"/>
      <c r="C29" s="515" t="s">
        <v>205</v>
      </c>
      <c r="D29" s="503">
        <f>90-45</f>
        <v>45</v>
      </c>
      <c r="E29" s="503"/>
      <c r="F29" s="503">
        <f>45</f>
        <v>45</v>
      </c>
      <c r="G29" s="503"/>
      <c r="H29" s="503">
        <f>D29-F29</f>
        <v>0</v>
      </c>
      <c r="I29" s="504"/>
    </row>
    <row r="30" spans="1:9" s="330" customFormat="1" ht="12.75" customHeight="1" x14ac:dyDescent="0.25">
      <c r="A30" s="499"/>
      <c r="B30" s="501"/>
      <c r="C30" s="515" t="s">
        <v>206</v>
      </c>
      <c r="D30" s="503">
        <v>2550</v>
      </c>
      <c r="E30" s="503"/>
      <c r="F30" s="503">
        <f>2550</f>
        <v>2550</v>
      </c>
      <c r="G30" s="503"/>
      <c r="H30" s="503">
        <f>D30-F30</f>
        <v>0</v>
      </c>
      <c r="I30" s="504"/>
    </row>
    <row r="31" spans="1:9" s="330" customFormat="1" ht="12.75" customHeight="1" x14ac:dyDescent="0.25">
      <c r="A31" s="499"/>
      <c r="B31" s="501"/>
      <c r="C31" s="515" t="s">
        <v>1833</v>
      </c>
      <c r="D31" s="503">
        <v>380</v>
      </c>
      <c r="E31" s="503"/>
      <c r="F31" s="503">
        <f>380</f>
        <v>380</v>
      </c>
      <c r="G31" s="503"/>
      <c r="H31" s="503">
        <f>D31-F31</f>
        <v>0</v>
      </c>
      <c r="I31" s="504"/>
    </row>
    <row r="32" spans="1:9" s="330" customFormat="1" ht="12.75" customHeight="1" thickBot="1" x14ac:dyDescent="0.3">
      <c r="A32" s="499"/>
      <c r="B32" s="501"/>
      <c r="C32" s="519" t="s">
        <v>119</v>
      </c>
      <c r="D32" s="405">
        <f>SUM(D27:D31)</f>
        <v>3475</v>
      </c>
      <c r="E32" s="519"/>
      <c r="F32" s="405">
        <f>SUM(F27:F31)</f>
        <v>3475</v>
      </c>
      <c r="G32" s="519"/>
      <c r="H32" s="405">
        <f>SUM(H27:H31)</f>
        <v>0</v>
      </c>
      <c r="I32" s="504"/>
    </row>
    <row r="33" spans="1:9" s="330" customFormat="1" ht="12.75" customHeight="1" thickTop="1" x14ac:dyDescent="0.25">
      <c r="A33" s="499"/>
      <c r="B33" s="501"/>
      <c r="C33" s="515"/>
      <c r="D33" s="503"/>
      <c r="E33" s="503"/>
      <c r="F33" s="503"/>
      <c r="G33" s="503"/>
      <c r="H33" s="503"/>
      <c r="I33" s="504"/>
    </row>
    <row r="34" spans="1:9" s="330" customFormat="1" ht="12.75" customHeight="1" x14ac:dyDescent="0.25">
      <c r="A34" s="499"/>
      <c r="B34" s="501"/>
      <c r="C34" s="518" t="s">
        <v>207</v>
      </c>
      <c r="D34" s="503"/>
      <c r="E34" s="503"/>
      <c r="F34" s="503"/>
      <c r="G34" s="503"/>
      <c r="H34" s="503"/>
      <c r="I34" s="504"/>
    </row>
    <row r="35" spans="1:9" s="330" customFormat="1" ht="12.75" customHeight="1" x14ac:dyDescent="0.25">
      <c r="A35" s="499"/>
      <c r="B35" s="501"/>
      <c r="C35" s="515" t="s">
        <v>1834</v>
      </c>
      <c r="D35" s="503">
        <f>1100-580</f>
        <v>520</v>
      </c>
      <c r="E35" s="503"/>
      <c r="F35" s="503">
        <f>520</f>
        <v>520</v>
      </c>
      <c r="G35" s="503"/>
      <c r="H35" s="503">
        <f>D35-F35</f>
        <v>0</v>
      </c>
      <c r="I35" s="504"/>
    </row>
    <row r="36" spans="1:9" s="330" customFormat="1" ht="12.75" customHeight="1" x14ac:dyDescent="0.25">
      <c r="A36" s="499"/>
      <c r="B36" s="501"/>
      <c r="C36" s="515" t="s">
        <v>208</v>
      </c>
      <c r="D36" s="503">
        <f>900-690</f>
        <v>210</v>
      </c>
      <c r="E36" s="503"/>
      <c r="F36" s="503">
        <f>210</f>
        <v>210</v>
      </c>
      <c r="G36" s="503"/>
      <c r="H36" s="503">
        <f>D36-F36</f>
        <v>0</v>
      </c>
      <c r="I36" s="504"/>
    </row>
    <row r="37" spans="1:9" s="330" customFormat="1" ht="12.75" customHeight="1" x14ac:dyDescent="0.25">
      <c r="A37" s="499"/>
      <c r="B37" s="501"/>
      <c r="C37" s="515" t="s">
        <v>209</v>
      </c>
      <c r="D37" s="503">
        <f>135-90</f>
        <v>45</v>
      </c>
      <c r="E37" s="503"/>
      <c r="F37" s="503">
        <f>45</f>
        <v>45</v>
      </c>
      <c r="G37" s="503"/>
      <c r="H37" s="503">
        <f>D37-F37</f>
        <v>0</v>
      </c>
      <c r="I37" s="504"/>
    </row>
    <row r="38" spans="1:9" s="330" customFormat="1" ht="12.75" customHeight="1" x14ac:dyDescent="0.25">
      <c r="A38" s="499"/>
      <c r="B38" s="501"/>
      <c r="C38" s="515" t="s">
        <v>210</v>
      </c>
      <c r="D38" s="503">
        <v>2250</v>
      </c>
      <c r="E38" s="503"/>
      <c r="F38" s="503">
        <f>2250</f>
        <v>2250</v>
      </c>
      <c r="G38" s="503"/>
      <c r="H38" s="503">
        <f>D38-F38</f>
        <v>0</v>
      </c>
      <c r="I38" s="504"/>
    </row>
    <row r="39" spans="1:9" s="330" customFormat="1" ht="12.75" customHeight="1" x14ac:dyDescent="0.25">
      <c r="A39" s="499"/>
      <c r="B39" s="501"/>
      <c r="C39" s="515" t="s">
        <v>1835</v>
      </c>
      <c r="D39" s="503">
        <f>1757.5-617.5</f>
        <v>1140</v>
      </c>
      <c r="E39" s="503"/>
      <c r="F39" s="503">
        <f>1140</f>
        <v>1140</v>
      </c>
      <c r="G39" s="503"/>
      <c r="H39" s="503">
        <f>D39-F39</f>
        <v>0</v>
      </c>
      <c r="I39" s="504"/>
    </row>
    <row r="40" spans="1:9" s="330" customFormat="1" ht="12.75" customHeight="1" thickBot="1" x14ac:dyDescent="0.3">
      <c r="A40" s="499"/>
      <c r="B40" s="501"/>
      <c r="C40" s="519" t="s">
        <v>119</v>
      </c>
      <c r="D40" s="405">
        <f>SUM(D35:D39)</f>
        <v>4165</v>
      </c>
      <c r="E40" s="519"/>
      <c r="F40" s="405">
        <f>SUM(F35:F39)</f>
        <v>4165</v>
      </c>
      <c r="G40" s="519"/>
      <c r="H40" s="405">
        <f>SUM(H35:H39)</f>
        <v>0</v>
      </c>
      <c r="I40" s="504"/>
    </row>
    <row r="41" spans="1:9" s="330" customFormat="1" ht="12.75" customHeight="1" thickTop="1" x14ac:dyDescent="0.25">
      <c r="A41" s="499"/>
      <c r="B41" s="501"/>
      <c r="C41" s="515"/>
      <c r="D41" s="503"/>
      <c r="E41" s="503"/>
      <c r="F41" s="503"/>
      <c r="G41" s="503"/>
      <c r="H41" s="503"/>
      <c r="I41" s="504"/>
    </row>
    <row r="42" spans="1:9" s="330" customFormat="1" ht="12.75" customHeight="1" x14ac:dyDescent="0.25">
      <c r="A42" s="499"/>
      <c r="B42" s="501"/>
      <c r="C42" s="518" t="s">
        <v>211</v>
      </c>
      <c r="D42" s="503"/>
      <c r="E42" s="503"/>
      <c r="F42" s="503"/>
      <c r="G42" s="503"/>
      <c r="H42" s="503"/>
      <c r="I42" s="504"/>
    </row>
    <row r="43" spans="1:9" s="330" customFormat="1" ht="12.75" customHeight="1" x14ac:dyDescent="0.25">
      <c r="A43" s="499"/>
      <c r="B43" s="501"/>
      <c r="C43" s="515" t="s">
        <v>1834</v>
      </c>
      <c r="D43" s="503">
        <f>1100-1010</f>
        <v>90</v>
      </c>
      <c r="E43" s="503"/>
      <c r="F43" s="503">
        <f>90</f>
        <v>90</v>
      </c>
      <c r="G43" s="503"/>
      <c r="H43" s="503">
        <f>D43-F43</f>
        <v>0</v>
      </c>
      <c r="I43" s="504"/>
    </row>
    <row r="44" spans="1:9" s="330" customFormat="1" ht="12.75" customHeight="1" x14ac:dyDescent="0.25">
      <c r="A44" s="499"/>
      <c r="B44" s="501"/>
      <c r="C44" s="515" t="s">
        <v>208</v>
      </c>
      <c r="D44" s="503">
        <f>900-825</f>
        <v>75</v>
      </c>
      <c r="E44" s="503"/>
      <c r="F44" s="503">
        <f>75</f>
        <v>75</v>
      </c>
      <c r="G44" s="503"/>
      <c r="H44" s="503">
        <f>D44-F44</f>
        <v>0</v>
      </c>
      <c r="I44" s="504"/>
    </row>
    <row r="45" spans="1:9" s="330" customFormat="1" ht="12.75" customHeight="1" x14ac:dyDescent="0.25">
      <c r="A45" s="499"/>
      <c r="B45" s="501"/>
      <c r="C45" s="515" t="s">
        <v>209</v>
      </c>
      <c r="D45" s="503">
        <f>135-90</f>
        <v>45</v>
      </c>
      <c r="E45" s="503"/>
      <c r="F45" s="503">
        <f>45</f>
        <v>45</v>
      </c>
      <c r="G45" s="503"/>
      <c r="H45" s="503">
        <f>D45-F45</f>
        <v>0</v>
      </c>
      <c r="I45" s="504"/>
    </row>
    <row r="46" spans="1:9" s="330" customFormat="1" ht="12.75" customHeight="1" x14ac:dyDescent="0.25">
      <c r="A46" s="499"/>
      <c r="B46" s="501"/>
      <c r="C46" s="515" t="s">
        <v>210</v>
      </c>
      <c r="D46" s="503">
        <v>2250</v>
      </c>
      <c r="E46" s="503"/>
      <c r="F46" s="503">
        <f>2250</f>
        <v>2250</v>
      </c>
      <c r="G46" s="503"/>
      <c r="H46" s="503">
        <f>D46-F46</f>
        <v>0</v>
      </c>
      <c r="I46" s="504"/>
    </row>
    <row r="47" spans="1:9" s="330" customFormat="1" ht="12.75" customHeight="1" x14ac:dyDescent="0.25">
      <c r="A47" s="499"/>
      <c r="B47" s="501"/>
      <c r="C47" s="515" t="s">
        <v>1835</v>
      </c>
      <c r="D47" s="503">
        <f>1757.5-617.5</f>
        <v>1140</v>
      </c>
      <c r="E47" s="503"/>
      <c r="F47" s="503">
        <f>1140</f>
        <v>1140</v>
      </c>
      <c r="G47" s="503"/>
      <c r="H47" s="503">
        <f>D47-F47</f>
        <v>0</v>
      </c>
      <c r="I47" s="504"/>
    </row>
    <row r="48" spans="1:9" s="330" customFormat="1" ht="12.75" customHeight="1" thickBot="1" x14ac:dyDescent="0.3">
      <c r="A48" s="499"/>
      <c r="B48" s="501"/>
      <c r="C48" s="519" t="s">
        <v>119</v>
      </c>
      <c r="D48" s="405">
        <f>SUM(D43:D47)</f>
        <v>3600</v>
      </c>
      <c r="E48" s="519"/>
      <c r="F48" s="405">
        <f>SUM(F43:F47)</f>
        <v>3600</v>
      </c>
      <c r="G48" s="519"/>
      <c r="H48" s="405">
        <f>SUM(H43:H47)</f>
        <v>0</v>
      </c>
      <c r="I48" s="504"/>
    </row>
    <row r="49" spans="1:9" s="330" customFormat="1" ht="12.75" customHeight="1" thickTop="1" x14ac:dyDescent="0.25">
      <c r="A49" s="499"/>
      <c r="B49" s="501"/>
      <c r="C49" s="519"/>
      <c r="D49" s="519"/>
      <c r="E49" s="519"/>
      <c r="F49" s="519"/>
      <c r="G49" s="519"/>
      <c r="H49" s="519"/>
      <c r="I49" s="504"/>
    </row>
    <row r="50" spans="1:9" s="330" customFormat="1" ht="12.75" customHeight="1" x14ac:dyDescent="0.25">
      <c r="A50" s="499"/>
      <c r="B50" s="501"/>
      <c r="C50" s="519" t="s">
        <v>212</v>
      </c>
      <c r="D50" s="519"/>
      <c r="E50" s="519"/>
      <c r="F50" s="519"/>
      <c r="G50" s="519"/>
      <c r="H50" s="519"/>
      <c r="I50" s="504"/>
    </row>
    <row r="51" spans="1:9" s="330" customFormat="1" ht="12.75" customHeight="1" x14ac:dyDescent="0.25">
      <c r="A51" s="499"/>
      <c r="B51" s="501"/>
      <c r="C51" s="515" t="s">
        <v>1834</v>
      </c>
      <c r="D51" s="503">
        <v>1100</v>
      </c>
      <c r="E51" s="519"/>
      <c r="F51" s="503">
        <f>1100</f>
        <v>1100</v>
      </c>
      <c r="G51" s="519"/>
      <c r="H51" s="503">
        <f t="shared" ref="H51:H56" si="3">D51-F51</f>
        <v>0</v>
      </c>
      <c r="I51" s="504"/>
    </row>
    <row r="52" spans="1:9" s="330" customFormat="1" ht="12.75" customHeight="1" x14ac:dyDescent="0.25">
      <c r="A52" s="499"/>
      <c r="B52" s="501"/>
      <c r="C52" s="515" t="s">
        <v>208</v>
      </c>
      <c r="D52" s="503">
        <f>900-735</f>
        <v>165</v>
      </c>
      <c r="E52" s="519"/>
      <c r="F52" s="503">
        <f>165</f>
        <v>165</v>
      </c>
      <c r="G52" s="519"/>
      <c r="H52" s="503">
        <f t="shared" si="3"/>
        <v>0</v>
      </c>
      <c r="I52" s="504"/>
    </row>
    <row r="53" spans="1:9" s="330" customFormat="1" ht="12.75" customHeight="1" x14ac:dyDescent="0.25">
      <c r="A53" s="499"/>
      <c r="B53" s="501"/>
      <c r="C53" s="515" t="s">
        <v>209</v>
      </c>
      <c r="D53" s="503">
        <f>135-90</f>
        <v>45</v>
      </c>
      <c r="E53" s="519"/>
      <c r="F53" s="503">
        <f>45</f>
        <v>45</v>
      </c>
      <c r="G53" s="519"/>
      <c r="H53" s="503">
        <f t="shared" si="3"/>
        <v>0</v>
      </c>
      <c r="I53" s="504"/>
    </row>
    <row r="54" spans="1:9" s="330" customFormat="1" ht="12.75" customHeight="1" x14ac:dyDescent="0.25">
      <c r="A54" s="499"/>
      <c r="B54" s="501"/>
      <c r="C54" s="515" t="s">
        <v>210</v>
      </c>
      <c r="D54" s="503">
        <v>2250</v>
      </c>
      <c r="E54" s="519"/>
      <c r="F54" s="503">
        <f>2250</f>
        <v>2250</v>
      </c>
      <c r="G54" s="519"/>
      <c r="H54" s="503">
        <f t="shared" si="3"/>
        <v>0</v>
      </c>
      <c r="I54" s="504"/>
    </row>
    <row r="55" spans="1:9" s="330" customFormat="1" ht="12.75" customHeight="1" x14ac:dyDescent="0.25">
      <c r="A55" s="499"/>
      <c r="B55" s="501"/>
      <c r="C55" s="515" t="s">
        <v>1835</v>
      </c>
      <c r="D55" s="503">
        <f>1757.5-522.5</f>
        <v>1235</v>
      </c>
      <c r="E55" s="519"/>
      <c r="F55" s="503">
        <f>1235</f>
        <v>1235</v>
      </c>
      <c r="G55" s="519"/>
      <c r="H55" s="503">
        <f t="shared" si="3"/>
        <v>0</v>
      </c>
      <c r="I55" s="504"/>
    </row>
    <row r="56" spans="1:9" s="330" customFormat="1" ht="12.75" customHeight="1" x14ac:dyDescent="0.25">
      <c r="A56" s="499"/>
      <c r="B56" s="501"/>
      <c r="C56" s="453" t="s">
        <v>1836</v>
      </c>
      <c r="D56" s="503">
        <v>380</v>
      </c>
      <c r="E56" s="519"/>
      <c r="F56" s="503">
        <f>380</f>
        <v>380</v>
      </c>
      <c r="G56" s="519"/>
      <c r="H56" s="503">
        <f t="shared" si="3"/>
        <v>0</v>
      </c>
      <c r="I56" s="504"/>
    </row>
    <row r="57" spans="1:9" s="330" customFormat="1" ht="12.75" customHeight="1" thickBot="1" x14ac:dyDescent="0.3">
      <c r="A57" s="499"/>
      <c r="B57" s="501"/>
      <c r="C57" s="518" t="s">
        <v>119</v>
      </c>
      <c r="D57" s="405">
        <f>SUM(D51:D56)</f>
        <v>5175</v>
      </c>
      <c r="E57" s="519"/>
      <c r="F57" s="405">
        <f>SUM(F51:F56)</f>
        <v>5175</v>
      </c>
      <c r="G57" s="519"/>
      <c r="H57" s="405">
        <f>SUM(H51:H56)</f>
        <v>0</v>
      </c>
      <c r="I57" s="504"/>
    </row>
    <row r="58" spans="1:9" s="330" customFormat="1" ht="12.75" customHeight="1" thickTop="1" x14ac:dyDescent="0.25">
      <c r="A58" s="499"/>
      <c r="B58" s="501"/>
      <c r="C58" s="515"/>
      <c r="D58" s="503"/>
      <c r="E58" s="519"/>
      <c r="F58" s="519"/>
      <c r="G58" s="519"/>
      <c r="H58" s="519"/>
      <c r="I58" s="504"/>
    </row>
    <row r="59" spans="1:9" s="330" customFormat="1" ht="12.75" customHeight="1" x14ac:dyDescent="0.25">
      <c r="A59" s="499"/>
      <c r="B59" s="501"/>
      <c r="C59" s="519" t="s">
        <v>213</v>
      </c>
      <c r="D59" s="519"/>
      <c r="E59" s="519"/>
      <c r="F59" s="519"/>
      <c r="G59" s="519"/>
      <c r="H59" s="519"/>
      <c r="I59" s="504"/>
    </row>
    <row r="60" spans="1:9" s="330" customFormat="1" ht="12.75" customHeight="1" x14ac:dyDescent="0.25">
      <c r="A60" s="499"/>
      <c r="B60" s="501"/>
      <c r="C60" s="515" t="s">
        <v>1834</v>
      </c>
      <c r="D60" s="503">
        <v>1100</v>
      </c>
      <c r="E60" s="519"/>
      <c r="F60" s="503">
        <f>1100</f>
        <v>1100</v>
      </c>
      <c r="G60" s="519"/>
      <c r="H60" s="503">
        <f t="shared" ref="H60:H65" si="4">D60-F60</f>
        <v>0</v>
      </c>
      <c r="I60" s="504"/>
    </row>
    <row r="61" spans="1:9" s="330" customFormat="1" ht="12.75" customHeight="1" x14ac:dyDescent="0.25">
      <c r="A61" s="499"/>
      <c r="B61" s="501"/>
      <c r="C61" s="515" t="s">
        <v>208</v>
      </c>
      <c r="D61" s="503">
        <f>900-600</f>
        <v>300</v>
      </c>
      <c r="E61" s="519"/>
      <c r="F61" s="503">
        <f>300</f>
        <v>300</v>
      </c>
      <c r="G61" s="519"/>
      <c r="H61" s="503">
        <f t="shared" si="4"/>
        <v>0</v>
      </c>
      <c r="I61" s="504"/>
    </row>
    <row r="62" spans="1:9" s="330" customFormat="1" ht="12.75" customHeight="1" x14ac:dyDescent="0.25">
      <c r="A62" s="499"/>
      <c r="B62" s="501"/>
      <c r="C62" s="515" t="s">
        <v>209</v>
      </c>
      <c r="D62" s="503">
        <f>135-90</f>
        <v>45</v>
      </c>
      <c r="E62" s="519"/>
      <c r="F62" s="503">
        <f>45</f>
        <v>45</v>
      </c>
      <c r="G62" s="519"/>
      <c r="H62" s="503">
        <f t="shared" si="4"/>
        <v>0</v>
      </c>
      <c r="I62" s="504"/>
    </row>
    <row r="63" spans="1:9" s="330" customFormat="1" ht="12.75" customHeight="1" x14ac:dyDescent="0.25">
      <c r="A63" s="499"/>
      <c r="B63" s="501"/>
      <c r="C63" s="515" t="s">
        <v>210</v>
      </c>
      <c r="D63" s="503">
        <v>2250</v>
      </c>
      <c r="E63" s="519"/>
      <c r="F63" s="503">
        <f>2250</f>
        <v>2250</v>
      </c>
      <c r="G63" s="519"/>
      <c r="H63" s="503">
        <f t="shared" si="4"/>
        <v>0</v>
      </c>
      <c r="I63" s="504"/>
    </row>
    <row r="64" spans="1:9" s="330" customFormat="1" ht="12.75" customHeight="1" x14ac:dyDescent="0.25">
      <c r="A64" s="499"/>
      <c r="B64" s="501"/>
      <c r="C64" s="515" t="s">
        <v>1835</v>
      </c>
      <c r="D64" s="503">
        <f>1757.5-522.5</f>
        <v>1235</v>
      </c>
      <c r="E64" s="519"/>
      <c r="F64" s="503">
        <f>1235</f>
        <v>1235</v>
      </c>
      <c r="G64" s="519"/>
      <c r="H64" s="503">
        <f t="shared" si="4"/>
        <v>0</v>
      </c>
      <c r="I64" s="504"/>
    </row>
    <row r="65" spans="1:9" s="330" customFormat="1" ht="12.75" customHeight="1" x14ac:dyDescent="0.25">
      <c r="A65" s="499"/>
      <c r="B65" s="501"/>
      <c r="C65" s="453" t="s">
        <v>1837</v>
      </c>
      <c r="D65" s="503">
        <v>620</v>
      </c>
      <c r="E65" s="519"/>
      <c r="F65" s="503">
        <f>620</f>
        <v>620</v>
      </c>
      <c r="G65" s="519"/>
      <c r="H65" s="503">
        <f t="shared" si="4"/>
        <v>0</v>
      </c>
      <c r="I65" s="504"/>
    </row>
    <row r="66" spans="1:9" s="330" customFormat="1" ht="12.75" customHeight="1" thickBot="1" x14ac:dyDescent="0.3">
      <c r="A66" s="499"/>
      <c r="B66" s="501"/>
      <c r="C66" s="518" t="s">
        <v>119</v>
      </c>
      <c r="D66" s="405">
        <f>SUM(D60:D65)</f>
        <v>5550</v>
      </c>
      <c r="E66" s="519"/>
      <c r="F66" s="405">
        <f>SUM(F60:F65)</f>
        <v>5550</v>
      </c>
      <c r="G66" s="519"/>
      <c r="H66" s="405">
        <f>SUM(H60:H65)</f>
        <v>0</v>
      </c>
      <c r="I66" s="504"/>
    </row>
    <row r="67" spans="1:9" s="330" customFormat="1" ht="12.75" customHeight="1" thickTop="1" x14ac:dyDescent="0.25">
      <c r="A67" s="499"/>
      <c r="B67" s="501"/>
      <c r="C67" s="515"/>
      <c r="D67" s="503"/>
      <c r="E67" s="519"/>
      <c r="F67" s="519"/>
      <c r="G67" s="519"/>
      <c r="H67" s="519"/>
      <c r="I67" s="504"/>
    </row>
    <row r="68" spans="1:9" s="330" customFormat="1" ht="12.75" customHeight="1" x14ac:dyDescent="0.25">
      <c r="A68" s="499"/>
      <c r="B68" s="501"/>
      <c r="C68" s="519" t="s">
        <v>214</v>
      </c>
      <c r="D68" s="503"/>
      <c r="E68" s="519"/>
      <c r="F68" s="519"/>
      <c r="G68" s="519"/>
      <c r="H68" s="519"/>
      <c r="I68" s="504"/>
    </row>
    <row r="69" spans="1:9" s="330" customFormat="1" ht="12.75" customHeight="1" x14ac:dyDescent="0.25">
      <c r="A69" s="499"/>
      <c r="B69" s="501"/>
      <c r="C69" s="515" t="s">
        <v>1834</v>
      </c>
      <c r="D69" s="503">
        <f>1100-1020</f>
        <v>80</v>
      </c>
      <c r="E69" s="519"/>
      <c r="F69" s="503">
        <f>80</f>
        <v>80</v>
      </c>
      <c r="G69" s="519"/>
      <c r="H69" s="503">
        <f>D69-F69</f>
        <v>0</v>
      </c>
      <c r="I69" s="504"/>
    </row>
    <row r="70" spans="1:9" s="330" customFormat="1" ht="12.75" customHeight="1" x14ac:dyDescent="0.25">
      <c r="A70" s="499"/>
      <c r="B70" s="501"/>
      <c r="C70" s="515" t="s">
        <v>208</v>
      </c>
      <c r="D70" s="503">
        <f>900-855</f>
        <v>45</v>
      </c>
      <c r="E70" s="519"/>
      <c r="F70" s="503">
        <f>45</f>
        <v>45</v>
      </c>
      <c r="G70" s="519"/>
      <c r="H70" s="503">
        <f>D70-F70</f>
        <v>0</v>
      </c>
      <c r="I70" s="504"/>
    </row>
    <row r="71" spans="1:9" s="330" customFormat="1" ht="12.75" customHeight="1" x14ac:dyDescent="0.25">
      <c r="A71" s="499"/>
      <c r="B71" s="501"/>
      <c r="C71" s="515" t="s">
        <v>209</v>
      </c>
      <c r="D71" s="503">
        <f>135-90</f>
        <v>45</v>
      </c>
      <c r="E71" s="519"/>
      <c r="F71" s="503">
        <f>45</f>
        <v>45</v>
      </c>
      <c r="G71" s="519"/>
      <c r="H71" s="503">
        <f>D71-F71</f>
        <v>0</v>
      </c>
      <c r="I71" s="504"/>
    </row>
    <row r="72" spans="1:9" s="330" customFormat="1" ht="12.75" customHeight="1" x14ac:dyDescent="0.25">
      <c r="A72" s="499"/>
      <c r="B72" s="501"/>
      <c r="C72" s="515" t="s">
        <v>210</v>
      </c>
      <c r="D72" s="503">
        <v>2250</v>
      </c>
      <c r="E72" s="519"/>
      <c r="F72" s="503">
        <f>2250</f>
        <v>2250</v>
      </c>
      <c r="G72" s="519"/>
      <c r="H72" s="503">
        <f>D72-F72</f>
        <v>0</v>
      </c>
      <c r="I72" s="504"/>
    </row>
    <row r="73" spans="1:9" s="330" customFormat="1" ht="12.75" customHeight="1" x14ac:dyDescent="0.25">
      <c r="A73" s="499"/>
      <c r="B73" s="501"/>
      <c r="C73" s="515" t="s">
        <v>1835</v>
      </c>
      <c r="D73" s="503">
        <f>1757.5-807.5</f>
        <v>950</v>
      </c>
      <c r="E73" s="519"/>
      <c r="F73" s="503">
        <f>950</f>
        <v>950</v>
      </c>
      <c r="G73" s="519"/>
      <c r="H73" s="503">
        <f>D73-F73</f>
        <v>0</v>
      </c>
      <c r="I73" s="504"/>
    </row>
    <row r="74" spans="1:9" s="330" customFormat="1" ht="12.75" customHeight="1" thickBot="1" x14ac:dyDescent="0.3">
      <c r="A74" s="499"/>
      <c r="B74" s="501"/>
      <c r="C74" s="518" t="s">
        <v>119</v>
      </c>
      <c r="D74" s="405">
        <f>SUM(D69:D73)</f>
        <v>3370</v>
      </c>
      <c r="E74" s="519"/>
      <c r="F74" s="405">
        <f>SUM(F69:F73)</f>
        <v>3370</v>
      </c>
      <c r="G74" s="519"/>
      <c r="H74" s="405">
        <f>SUM(H69:H73)</f>
        <v>0</v>
      </c>
      <c r="I74" s="504"/>
    </row>
    <row r="75" spans="1:9" s="330" customFormat="1" ht="12.75" customHeight="1" thickTop="1" x14ac:dyDescent="0.25">
      <c r="A75" s="499"/>
      <c r="B75" s="501"/>
      <c r="C75" s="515"/>
      <c r="D75" s="503"/>
      <c r="E75" s="519"/>
      <c r="F75" s="519"/>
      <c r="G75" s="519"/>
      <c r="H75" s="519"/>
      <c r="I75" s="504"/>
    </row>
    <row r="76" spans="1:9" s="330" customFormat="1" ht="12.75" customHeight="1" x14ac:dyDescent="0.25">
      <c r="A76" s="499"/>
      <c r="B76" s="501"/>
      <c r="C76" s="515"/>
      <c r="D76" s="504"/>
      <c r="E76" s="499"/>
      <c r="F76" s="541"/>
      <c r="G76" s="541"/>
      <c r="H76" s="504"/>
      <c r="I76" s="504"/>
    </row>
    <row r="77" spans="1:9" s="330" customFormat="1" ht="12.75" customHeight="1" thickBot="1" x14ac:dyDescent="0.3">
      <c r="A77" s="499"/>
      <c r="B77" s="501"/>
      <c r="C77" s="519" t="s">
        <v>179</v>
      </c>
      <c r="D77" s="405">
        <f>SUM(D32+D40+D48+D57+D66+D74)</f>
        <v>25335</v>
      </c>
      <c r="E77" s="519"/>
      <c r="F77" s="405">
        <f>SUM(F32+F40+F48+F57+F66+F74)</f>
        <v>25335</v>
      </c>
      <c r="G77" s="519"/>
      <c r="H77" s="405">
        <f>SUM(H32+H40+H48+H57+H66+H74)</f>
        <v>0</v>
      </c>
      <c r="I77" s="504"/>
    </row>
    <row r="78" spans="1:9" s="330" customFormat="1" ht="12.75" customHeight="1" thickTop="1" x14ac:dyDescent="0.25"/>
    <row r="79" spans="1:9" s="330" customFormat="1" ht="12.75" customHeight="1" x14ac:dyDescent="0.25"/>
    <row r="80" spans="1:9"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row r="153" s="330" customFormat="1" ht="12.75" customHeight="1" x14ac:dyDescent="0.25"/>
    <row r="154" s="330" customFormat="1" ht="12.75" customHeight="1" x14ac:dyDescent="0.25"/>
    <row r="155" s="330" customFormat="1" ht="12.75" customHeight="1" x14ac:dyDescent="0.25"/>
    <row r="156" s="330" customFormat="1" ht="12.75" customHeight="1" x14ac:dyDescent="0.25"/>
    <row r="157" s="330" customFormat="1" ht="12.75" customHeight="1" x14ac:dyDescent="0.25"/>
    <row r="158" s="330" customFormat="1" ht="12.75" customHeight="1" x14ac:dyDescent="0.25"/>
    <row r="159" s="330" customFormat="1" ht="12.75" customHeight="1" x14ac:dyDescent="0.25"/>
    <row r="160" s="330" customFormat="1" ht="12.75" customHeight="1" x14ac:dyDescent="0.25"/>
    <row r="161" s="330" customFormat="1" ht="12.75" customHeight="1" x14ac:dyDescent="0.25"/>
    <row r="162" s="330" customFormat="1" ht="12.75" customHeight="1" x14ac:dyDescent="0.25"/>
    <row r="163" s="330" customFormat="1" ht="12.75" customHeight="1" x14ac:dyDescent="0.25"/>
    <row r="164" s="330" customFormat="1" ht="12.75" customHeight="1" x14ac:dyDescent="0.25"/>
    <row r="165" s="330" customFormat="1" ht="12.75" customHeight="1" x14ac:dyDescent="0.25"/>
    <row r="166" s="330" customFormat="1" ht="12.75" customHeight="1" x14ac:dyDescent="0.25"/>
    <row r="167" s="330" customFormat="1" ht="12.75" customHeight="1" x14ac:dyDescent="0.25"/>
    <row r="168" s="330" customFormat="1" ht="12.75" customHeight="1" x14ac:dyDescent="0.25"/>
    <row r="169" s="330" customFormat="1" ht="12.75" customHeight="1" x14ac:dyDescent="0.25"/>
    <row r="170" s="330" customFormat="1" ht="12.75" customHeight="1" x14ac:dyDescent="0.25"/>
    <row r="171" s="330" customFormat="1" ht="12.75" customHeight="1" x14ac:dyDescent="0.25"/>
    <row r="172" s="330" customFormat="1" ht="12.75" customHeight="1" x14ac:dyDescent="0.25"/>
    <row r="173" s="330" customFormat="1" ht="12.75" customHeight="1" x14ac:dyDescent="0.25"/>
    <row r="174" s="330" customFormat="1" ht="12.75" customHeight="1" x14ac:dyDescent="0.25"/>
    <row r="175" s="330" customFormat="1" ht="12.75" customHeight="1" x14ac:dyDescent="0.25"/>
    <row r="176" s="330" customFormat="1" ht="12.75" customHeight="1" x14ac:dyDescent="0.25"/>
    <row r="177" s="330" customFormat="1" ht="12.75" customHeight="1" x14ac:dyDescent="0.25"/>
    <row r="178" s="330" customFormat="1" ht="12.75" customHeight="1" x14ac:dyDescent="0.25"/>
    <row r="179" s="330" customFormat="1" ht="12.75" customHeight="1" x14ac:dyDescent="0.25"/>
    <row r="180" s="330" customFormat="1" ht="12.75" customHeight="1" x14ac:dyDescent="0.25"/>
    <row r="181" s="330" customFormat="1" ht="12.75" customHeight="1" x14ac:dyDescent="0.25"/>
    <row r="182" s="330" customFormat="1" ht="12.75" customHeight="1" x14ac:dyDescent="0.25"/>
    <row r="183" s="330" customFormat="1" ht="12.75" customHeight="1" x14ac:dyDescent="0.25"/>
    <row r="184" s="330" customFormat="1" ht="12.75" customHeight="1" x14ac:dyDescent="0.25"/>
    <row r="185" s="330" customFormat="1" ht="12.75" customHeight="1" x14ac:dyDescent="0.25"/>
    <row r="186" s="330" customFormat="1" ht="12.75" customHeight="1" x14ac:dyDescent="0.25"/>
    <row r="187" s="330" customFormat="1" ht="12.75" customHeight="1" x14ac:dyDescent="0.25"/>
    <row r="188" s="330" customFormat="1" ht="12.75" customHeight="1" x14ac:dyDescent="0.25"/>
    <row r="189" s="330" customFormat="1" ht="12.75" customHeight="1" x14ac:dyDescent="0.25"/>
    <row r="190" s="330" customFormat="1" ht="12.75" customHeight="1" x14ac:dyDescent="0.25"/>
    <row r="191" s="330" customFormat="1" ht="12.75" customHeight="1" x14ac:dyDescent="0.25"/>
    <row r="192" s="330" customFormat="1" ht="12.75" customHeight="1" x14ac:dyDescent="0.25"/>
    <row r="193" s="330" customFormat="1" ht="12.75" customHeight="1" x14ac:dyDescent="0.25"/>
    <row r="194" s="330" customFormat="1" ht="12.75" customHeight="1" x14ac:dyDescent="0.25"/>
    <row r="195" s="330" customFormat="1" ht="12.75" customHeight="1" x14ac:dyDescent="0.25"/>
    <row r="196" s="330" customFormat="1" ht="12.75" customHeight="1" x14ac:dyDescent="0.25"/>
    <row r="197" s="330" customFormat="1" ht="12.75" customHeight="1" x14ac:dyDescent="0.25"/>
    <row r="198" s="330" customFormat="1" ht="12.75" customHeight="1" x14ac:dyDescent="0.25"/>
    <row r="199" s="330" customFormat="1" ht="12.75" customHeight="1" x14ac:dyDescent="0.25"/>
    <row r="200" s="330" customFormat="1" ht="12.75" customHeight="1" x14ac:dyDescent="0.25"/>
    <row r="201" s="330" customFormat="1" ht="12.75" customHeight="1" x14ac:dyDescent="0.25"/>
    <row r="202" s="330" customFormat="1" ht="12.75" customHeight="1" x14ac:dyDescent="0.25"/>
    <row r="203" s="330" customFormat="1" ht="12.75" customHeight="1" x14ac:dyDescent="0.25"/>
    <row r="204" s="330" customFormat="1" ht="12.75" customHeight="1" x14ac:dyDescent="0.25"/>
    <row r="205" s="330" customFormat="1" ht="12.75" customHeight="1" x14ac:dyDescent="0.25"/>
    <row r="206" s="330" customFormat="1" ht="12.75" customHeight="1" x14ac:dyDescent="0.25"/>
    <row r="207" s="330" customFormat="1" ht="12.75" customHeight="1" x14ac:dyDescent="0.25"/>
    <row r="208" s="330" customFormat="1" ht="12.75" customHeight="1" x14ac:dyDescent="0.25"/>
    <row r="209" s="330" customFormat="1" ht="12.75" customHeight="1" x14ac:dyDescent="0.25"/>
    <row r="210" s="330" customFormat="1" ht="12.75" customHeight="1" x14ac:dyDescent="0.25"/>
    <row r="211" s="330" customFormat="1" ht="12.75" customHeight="1" x14ac:dyDescent="0.25"/>
    <row r="212" s="330" customFormat="1" ht="12.75" customHeight="1" x14ac:dyDescent="0.25"/>
    <row r="213" s="330" customFormat="1" ht="12.75" customHeight="1" x14ac:dyDescent="0.25"/>
    <row r="214" s="330"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pageSetUpPr fitToPage="1"/>
  </sheetPr>
  <dimension ref="A1:I151"/>
  <sheetViews>
    <sheetView tabSelected="1" topLeftCell="A5"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266</v>
      </c>
      <c r="B4" s="126"/>
      <c r="C4" s="127"/>
      <c r="D4" s="128" t="s">
        <v>172</v>
      </c>
      <c r="E4" s="124"/>
      <c r="F4" s="124"/>
      <c r="G4" s="124"/>
      <c r="H4" s="125"/>
      <c r="I4" s="125"/>
    </row>
    <row r="5" spans="1:9" ht="15.75" x14ac:dyDescent="0.25">
      <c r="A5" s="129" t="s">
        <v>143</v>
      </c>
      <c r="B5" s="130"/>
      <c r="C5" s="131"/>
      <c r="D5" s="132" t="s">
        <v>173</v>
      </c>
      <c r="E5" s="133"/>
      <c r="F5" s="134"/>
      <c r="G5" s="134"/>
      <c r="H5" s="130"/>
      <c r="I5" s="125"/>
    </row>
    <row r="6" spans="1:9" ht="15.75" x14ac:dyDescent="0.25">
      <c r="A6" s="86" t="str">
        <f>'RECAP #9279.40'!B6</f>
        <v>Project Manager - Jennifer K.</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267</v>
      </c>
      <c r="B9" s="409">
        <v>45573</v>
      </c>
      <c r="C9" s="410" t="s">
        <v>107</v>
      </c>
      <c r="D9" s="411">
        <v>491700</v>
      </c>
      <c r="E9" s="412">
        <f>D9</f>
        <v>491700</v>
      </c>
      <c r="F9" s="413"/>
      <c r="G9" s="413"/>
      <c r="H9" s="413">
        <f>E9</f>
        <v>491700</v>
      </c>
      <c r="I9" s="414"/>
    </row>
    <row r="10" spans="1:9" s="330" customFormat="1" ht="12.75" customHeight="1" x14ac:dyDescent="0.25">
      <c r="A10" s="408" t="s">
        <v>304</v>
      </c>
      <c r="B10" s="240">
        <v>45601</v>
      </c>
      <c r="C10" s="410" t="s">
        <v>303</v>
      </c>
      <c r="D10" s="412"/>
      <c r="E10" s="412">
        <f t="shared" ref="E10:E23" si="0">E9+D10</f>
        <v>491700</v>
      </c>
      <c r="F10" s="445">
        <v>18180</v>
      </c>
      <c r="G10" s="413">
        <f t="shared" ref="G10:G23" si="1">G9+F10</f>
        <v>18180</v>
      </c>
      <c r="H10" s="413">
        <f t="shared" ref="H10:H23" si="2">H9-F10+D10</f>
        <v>473520</v>
      </c>
      <c r="I10" s="414"/>
    </row>
    <row r="11" spans="1:9" s="330" customFormat="1" ht="12.75" customHeight="1" x14ac:dyDescent="0.25">
      <c r="A11" s="408" t="s">
        <v>348</v>
      </c>
      <c r="B11" s="409">
        <v>45638</v>
      </c>
      <c r="C11" s="410" t="s">
        <v>349</v>
      </c>
      <c r="D11" s="412"/>
      <c r="E11" s="412">
        <f t="shared" si="0"/>
        <v>491700</v>
      </c>
      <c r="F11" s="445">
        <v>211250</v>
      </c>
      <c r="G11" s="413">
        <f t="shared" si="1"/>
        <v>229430</v>
      </c>
      <c r="H11" s="413">
        <f t="shared" si="2"/>
        <v>262270</v>
      </c>
      <c r="I11" s="414"/>
    </row>
    <row r="12" spans="1:9" s="330" customFormat="1" ht="12.75" customHeight="1" x14ac:dyDescent="0.25">
      <c r="A12" s="408" t="s">
        <v>267</v>
      </c>
      <c r="B12" s="409">
        <v>45642</v>
      </c>
      <c r="C12" s="410" t="s">
        <v>301</v>
      </c>
      <c r="D12" s="411">
        <v>22560</v>
      </c>
      <c r="E12" s="412">
        <f t="shared" si="0"/>
        <v>514260</v>
      </c>
      <c r="F12" s="422"/>
      <c r="G12" s="413">
        <f t="shared" si="1"/>
        <v>229430</v>
      </c>
      <c r="H12" s="413">
        <f t="shared" si="2"/>
        <v>284830</v>
      </c>
      <c r="I12" s="414"/>
    </row>
    <row r="13" spans="1:9" s="330" customFormat="1" ht="12.75" customHeight="1" x14ac:dyDescent="0.25">
      <c r="A13" s="408" t="s">
        <v>267</v>
      </c>
      <c r="B13" s="409">
        <v>45664</v>
      </c>
      <c r="C13" s="410" t="s">
        <v>403</v>
      </c>
      <c r="D13" s="411">
        <v>6705</v>
      </c>
      <c r="E13" s="412">
        <f t="shared" si="0"/>
        <v>520965</v>
      </c>
      <c r="F13" s="422"/>
      <c r="G13" s="413">
        <f t="shared" si="1"/>
        <v>229430</v>
      </c>
      <c r="H13" s="413">
        <f t="shared" si="2"/>
        <v>291535</v>
      </c>
      <c r="I13" s="414"/>
    </row>
    <row r="14" spans="1:9" s="330" customFormat="1" ht="12.75" customHeight="1" x14ac:dyDescent="0.25">
      <c r="A14" s="408" t="s">
        <v>459</v>
      </c>
      <c r="B14" s="409">
        <v>45684</v>
      </c>
      <c r="C14" s="410" t="s">
        <v>460</v>
      </c>
      <c r="D14" s="412"/>
      <c r="E14" s="412">
        <f t="shared" si="0"/>
        <v>520965</v>
      </c>
      <c r="F14" s="445">
        <v>153082.4</v>
      </c>
      <c r="G14" s="413">
        <f t="shared" si="1"/>
        <v>382512.4</v>
      </c>
      <c r="H14" s="413">
        <f t="shared" si="2"/>
        <v>138452.6</v>
      </c>
      <c r="I14" s="414"/>
    </row>
    <row r="15" spans="1:9" s="330" customFormat="1" ht="12.75" customHeight="1" x14ac:dyDescent="0.25">
      <c r="A15" s="408" t="s">
        <v>541</v>
      </c>
      <c r="B15" s="409">
        <v>45712</v>
      </c>
      <c r="C15" s="410" t="s">
        <v>542</v>
      </c>
      <c r="D15" s="412"/>
      <c r="E15" s="412">
        <f t="shared" si="0"/>
        <v>520965</v>
      </c>
      <c r="F15" s="445">
        <v>90688.92</v>
      </c>
      <c r="G15" s="413">
        <f t="shared" si="1"/>
        <v>473201.32</v>
      </c>
      <c r="H15" s="413">
        <f t="shared" si="2"/>
        <v>47763.680000000008</v>
      </c>
      <c r="I15" s="414"/>
    </row>
    <row r="16" spans="1:9" s="330" customFormat="1" ht="12.75" customHeight="1" x14ac:dyDescent="0.25">
      <c r="A16" s="408" t="s">
        <v>679</v>
      </c>
      <c r="B16" s="409">
        <v>45762</v>
      </c>
      <c r="C16" s="410" t="s">
        <v>680</v>
      </c>
      <c r="D16" s="412"/>
      <c r="E16" s="412">
        <f t="shared" si="0"/>
        <v>520965</v>
      </c>
      <c r="F16" s="445">
        <v>29329.14</v>
      </c>
      <c r="G16" s="413">
        <f t="shared" si="1"/>
        <v>502530.46</v>
      </c>
      <c r="H16" s="413">
        <f t="shared" si="2"/>
        <v>18434.540000000008</v>
      </c>
      <c r="I16" s="414"/>
    </row>
    <row r="17" spans="1:9" s="330" customFormat="1" ht="12.75" customHeight="1" x14ac:dyDescent="0.25">
      <c r="A17" s="415" t="s">
        <v>922</v>
      </c>
      <c r="B17" s="480">
        <v>45845</v>
      </c>
      <c r="C17" s="417" t="s">
        <v>923</v>
      </c>
      <c r="D17" s="418"/>
      <c r="E17" s="418">
        <f t="shared" si="0"/>
        <v>520965</v>
      </c>
      <c r="F17" s="419">
        <v>670.5</v>
      </c>
      <c r="G17" s="420">
        <f t="shared" si="1"/>
        <v>503200.96</v>
      </c>
      <c r="H17" s="420">
        <f t="shared" si="2"/>
        <v>17764.040000000008</v>
      </c>
      <c r="I17" s="421" t="s">
        <v>1015</v>
      </c>
    </row>
    <row r="18" spans="1:9" s="330" customFormat="1" ht="12.75" customHeight="1" x14ac:dyDescent="0.25">
      <c r="A18" s="408" t="s">
        <v>1030</v>
      </c>
      <c r="B18" s="409">
        <v>45889</v>
      </c>
      <c r="C18" s="410" t="s">
        <v>1017</v>
      </c>
      <c r="D18" s="411">
        <v>0</v>
      </c>
      <c r="E18" s="412">
        <f t="shared" si="0"/>
        <v>520965</v>
      </c>
      <c r="F18" s="422"/>
      <c r="G18" s="413">
        <f t="shared" si="1"/>
        <v>503200.96</v>
      </c>
      <c r="H18" s="413">
        <f t="shared" si="2"/>
        <v>17764.040000000008</v>
      </c>
      <c r="I18" s="414"/>
    </row>
    <row r="19" spans="1:9" s="330" customFormat="1" ht="12.75" customHeight="1" x14ac:dyDescent="0.25">
      <c r="A19" s="408" t="s">
        <v>1030</v>
      </c>
      <c r="B19" s="409">
        <v>46051</v>
      </c>
      <c r="C19" s="410" t="s">
        <v>625</v>
      </c>
      <c r="D19" s="411">
        <v>107393</v>
      </c>
      <c r="E19" s="412">
        <f t="shared" si="0"/>
        <v>628358</v>
      </c>
      <c r="F19" s="413"/>
      <c r="G19" s="413">
        <f t="shared" si="1"/>
        <v>503200.96</v>
      </c>
      <c r="H19" s="413">
        <f t="shared" si="2"/>
        <v>125157.04000000001</v>
      </c>
      <c r="I19" s="414"/>
    </row>
    <row r="20" spans="1:9" s="330" customFormat="1" ht="12.75" customHeight="1" x14ac:dyDescent="0.25">
      <c r="A20" s="408" t="s">
        <v>1541</v>
      </c>
      <c r="B20" s="409">
        <v>46058</v>
      </c>
      <c r="C20" s="410" t="s">
        <v>1542</v>
      </c>
      <c r="D20" s="412"/>
      <c r="E20" s="412">
        <f t="shared" si="0"/>
        <v>628358</v>
      </c>
      <c r="F20" s="445">
        <v>15226.32</v>
      </c>
      <c r="G20" s="413">
        <f t="shared" si="1"/>
        <v>518427.28</v>
      </c>
      <c r="H20" s="413">
        <f t="shared" si="2"/>
        <v>109930.72</v>
      </c>
      <c r="I20" s="414"/>
    </row>
    <row r="21" spans="1:9" s="330" customFormat="1" ht="12.75" customHeight="1" x14ac:dyDescent="0.25">
      <c r="A21" s="408" t="s">
        <v>1759</v>
      </c>
      <c r="B21" s="409">
        <v>46121</v>
      </c>
      <c r="C21" s="410" t="s">
        <v>1760</v>
      </c>
      <c r="D21" s="412"/>
      <c r="E21" s="412">
        <f t="shared" si="0"/>
        <v>628358</v>
      </c>
      <c r="F21" s="445">
        <v>151.72</v>
      </c>
      <c r="G21" s="413">
        <f t="shared" si="1"/>
        <v>518579</v>
      </c>
      <c r="H21" s="413">
        <f t="shared" si="2"/>
        <v>109779</v>
      </c>
      <c r="I21" s="414"/>
    </row>
    <row r="22" spans="1:9" s="330" customFormat="1" ht="12.75" customHeight="1" x14ac:dyDescent="0.25">
      <c r="A22" s="408"/>
      <c r="B22" s="409"/>
      <c r="C22" s="410"/>
      <c r="D22" s="412"/>
      <c r="E22" s="412">
        <f t="shared" si="0"/>
        <v>628358</v>
      </c>
      <c r="F22" s="445"/>
      <c r="G22" s="413">
        <f t="shared" si="1"/>
        <v>518579</v>
      </c>
      <c r="H22" s="413">
        <f t="shared" si="2"/>
        <v>109779</v>
      </c>
      <c r="I22" s="414"/>
    </row>
    <row r="23" spans="1:9" s="330" customFormat="1" ht="12.75" customHeight="1" x14ac:dyDescent="0.25">
      <c r="A23" s="408"/>
      <c r="B23" s="409"/>
      <c r="C23" s="423"/>
      <c r="D23" s="412"/>
      <c r="E23" s="412">
        <f t="shared" si="0"/>
        <v>628358</v>
      </c>
      <c r="F23" s="413"/>
      <c r="G23" s="413">
        <f t="shared" si="1"/>
        <v>518579</v>
      </c>
      <c r="H23" s="413">
        <f t="shared" si="2"/>
        <v>109779</v>
      </c>
      <c r="I23" s="414"/>
    </row>
    <row r="24" spans="1:9" s="330" customFormat="1" ht="12.75" customHeight="1" x14ac:dyDescent="0.25">
      <c r="A24" s="408"/>
      <c r="B24" s="410"/>
      <c r="C24" s="425"/>
      <c r="D24" s="413"/>
      <c r="E24" s="413"/>
      <c r="F24" s="413"/>
      <c r="G24" s="413"/>
      <c r="H24" s="413"/>
      <c r="I24" s="414"/>
    </row>
    <row r="25" spans="1:9" s="330" customFormat="1" ht="12.75" customHeight="1" thickBot="1" x14ac:dyDescent="0.3">
      <c r="A25" s="408"/>
      <c r="B25" s="449"/>
      <c r="C25" s="450" t="s">
        <v>54</v>
      </c>
      <c r="D25" s="426">
        <f>SUM(D9:D24)</f>
        <v>628358</v>
      </c>
      <c r="E25" s="426"/>
      <c r="F25" s="426">
        <f>SUM(F9:F24)</f>
        <v>518579</v>
      </c>
      <c r="G25" s="426"/>
      <c r="H25" s="426">
        <f>D25-F25</f>
        <v>109779</v>
      </c>
      <c r="I25" s="491"/>
    </row>
    <row r="26" spans="1:9" s="330" customFormat="1" ht="12.75" customHeight="1" thickTop="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4" t="s">
        <v>268</v>
      </c>
      <c r="D28" s="413"/>
      <c r="E28" s="413"/>
      <c r="F28" s="413"/>
      <c r="G28" s="413"/>
      <c r="H28" s="413"/>
      <c r="I28" s="414"/>
    </row>
    <row r="29" spans="1:9" s="330" customFormat="1" ht="12.75" customHeight="1" x14ac:dyDescent="0.25">
      <c r="A29" s="408"/>
      <c r="B29" s="410"/>
      <c r="C29" s="425" t="s">
        <v>176</v>
      </c>
      <c r="D29" s="413">
        <v>86500</v>
      </c>
      <c r="E29" s="413"/>
      <c r="F29" s="413">
        <f>17300+69200</f>
        <v>86500</v>
      </c>
      <c r="G29" s="413"/>
      <c r="H29" s="413">
        <f>D29-F29</f>
        <v>0</v>
      </c>
      <c r="I29" s="414"/>
    </row>
    <row r="30" spans="1:9" s="330" customFormat="1" ht="12.75" customHeight="1" x14ac:dyDescent="0.25">
      <c r="A30" s="408"/>
      <c r="B30" s="410"/>
      <c r="C30" s="425" t="s">
        <v>255</v>
      </c>
      <c r="D30" s="413">
        <v>139000</v>
      </c>
      <c r="E30" s="413"/>
      <c r="F30" s="413">
        <f>118150+20850</f>
        <v>139000</v>
      </c>
      <c r="G30" s="413"/>
      <c r="H30" s="413">
        <f>D30-F30</f>
        <v>0</v>
      </c>
      <c r="I30" s="414"/>
    </row>
    <row r="31" spans="1:9" s="330" customFormat="1" ht="12.75" customHeight="1" x14ac:dyDescent="0.25">
      <c r="A31" s="408"/>
      <c r="B31" s="410"/>
      <c r="C31" s="425" t="s">
        <v>175</v>
      </c>
      <c r="D31" s="413">
        <v>216600</v>
      </c>
      <c r="E31" s="413"/>
      <c r="F31" s="413">
        <f>108300+73644+19494+12996</f>
        <v>214434</v>
      </c>
      <c r="G31" s="413"/>
      <c r="H31" s="413">
        <f>D31-F31</f>
        <v>2166</v>
      </c>
      <c r="I31" s="414"/>
    </row>
    <row r="32" spans="1:9" s="330" customFormat="1" ht="12.75" customHeight="1" thickBot="1" x14ac:dyDescent="0.3">
      <c r="A32" s="408"/>
      <c r="B32" s="410"/>
      <c r="C32" s="427" t="s">
        <v>555</v>
      </c>
      <c r="D32" s="426">
        <f>SUM(D29:D31)</f>
        <v>442100</v>
      </c>
      <c r="E32" s="427"/>
      <c r="F32" s="426">
        <f>SUM(F29:F31)</f>
        <v>439934</v>
      </c>
      <c r="G32" s="427"/>
      <c r="H32" s="426">
        <f>SUM(H29:H31)</f>
        <v>2166</v>
      </c>
      <c r="I32" s="414"/>
    </row>
    <row r="33" spans="1:9" s="330" customFormat="1" ht="12.75" customHeight="1" thickTop="1" x14ac:dyDescent="0.25">
      <c r="A33" s="408"/>
      <c r="B33" s="410"/>
      <c r="C33" s="425"/>
      <c r="D33" s="413"/>
      <c r="E33" s="413"/>
      <c r="F33" s="413"/>
      <c r="G33" s="413"/>
      <c r="H33" s="413"/>
      <c r="I33" s="414"/>
    </row>
    <row r="34" spans="1:9" s="330" customFormat="1" ht="12.75" customHeight="1" x14ac:dyDescent="0.25">
      <c r="A34" s="408"/>
      <c r="B34" s="410"/>
      <c r="C34" s="424" t="s">
        <v>269</v>
      </c>
      <c r="D34" s="413"/>
      <c r="E34" s="413"/>
      <c r="F34" s="413"/>
      <c r="G34" s="413"/>
      <c r="H34" s="413"/>
      <c r="I34" s="414"/>
    </row>
    <row r="35" spans="1:9" s="330" customFormat="1" ht="12.75" customHeight="1" x14ac:dyDescent="0.25">
      <c r="A35" s="408"/>
      <c r="B35" s="410"/>
      <c r="C35" s="425" t="s">
        <v>176</v>
      </c>
      <c r="D35" s="413">
        <v>8800</v>
      </c>
      <c r="E35" s="413"/>
      <c r="F35" s="413">
        <f>880+7920</f>
        <v>8800</v>
      </c>
      <c r="G35" s="413"/>
      <c r="H35" s="413">
        <f>D35-F35</f>
        <v>0</v>
      </c>
      <c r="I35" s="414"/>
    </row>
    <row r="36" spans="1:9" s="330" customFormat="1" ht="12.75" customHeight="1" x14ac:dyDescent="0.25">
      <c r="A36" s="408"/>
      <c r="B36" s="410"/>
      <c r="C36" s="425" t="s">
        <v>255</v>
      </c>
      <c r="D36" s="413">
        <v>18800</v>
      </c>
      <c r="E36" s="413"/>
      <c r="F36" s="413">
        <f>15980+2820</f>
        <v>18800</v>
      </c>
      <c r="G36" s="413"/>
      <c r="H36" s="413">
        <f>D36-F36</f>
        <v>0</v>
      </c>
      <c r="I36" s="414"/>
    </row>
    <row r="37" spans="1:9" s="330" customFormat="1" ht="12.75" customHeight="1" x14ac:dyDescent="0.25">
      <c r="A37" s="408"/>
      <c r="B37" s="410"/>
      <c r="C37" s="425" t="s">
        <v>175</v>
      </c>
      <c r="D37" s="413">
        <v>22000</v>
      </c>
      <c r="E37" s="413"/>
      <c r="F37" s="413">
        <f>11000+7480+1980+1320</f>
        <v>21780</v>
      </c>
      <c r="G37" s="413"/>
      <c r="H37" s="413">
        <f>D37-F37</f>
        <v>220</v>
      </c>
      <c r="I37" s="414"/>
    </row>
    <row r="38" spans="1:9" s="330" customFormat="1" ht="12.75" customHeight="1" thickBot="1" x14ac:dyDescent="0.3">
      <c r="A38" s="408"/>
      <c r="B38" s="410"/>
      <c r="C38" s="427" t="s">
        <v>555</v>
      </c>
      <c r="D38" s="426">
        <f>SUM(D35:D37)</f>
        <v>49600</v>
      </c>
      <c r="E38" s="427"/>
      <c r="F38" s="426">
        <f>SUM(F35:F37)</f>
        <v>49380</v>
      </c>
      <c r="G38" s="427"/>
      <c r="H38" s="426">
        <f>SUM(H35:H37)</f>
        <v>220</v>
      </c>
      <c r="I38" s="414"/>
    </row>
    <row r="39" spans="1:9" s="330" customFormat="1" ht="12.75" customHeight="1" thickTop="1" x14ac:dyDescent="0.25">
      <c r="A39" s="408"/>
      <c r="B39" s="410"/>
      <c r="C39" s="425"/>
      <c r="D39" s="413"/>
      <c r="E39" s="413"/>
      <c r="F39" s="413"/>
      <c r="G39" s="413"/>
      <c r="H39" s="413"/>
      <c r="I39" s="414"/>
    </row>
    <row r="40" spans="1:9" s="330" customFormat="1" ht="12.75" customHeight="1" x14ac:dyDescent="0.25">
      <c r="A40" s="408"/>
      <c r="B40" s="410"/>
      <c r="C40" s="425"/>
      <c r="D40" s="413"/>
      <c r="E40" s="413"/>
      <c r="F40" s="413"/>
      <c r="G40" s="413"/>
      <c r="H40" s="413"/>
      <c r="I40" s="414"/>
    </row>
    <row r="41" spans="1:9" s="330" customFormat="1" ht="12.75" customHeight="1" x14ac:dyDescent="0.25">
      <c r="A41" s="408"/>
      <c r="B41" s="410"/>
      <c r="C41" s="425" t="s">
        <v>301</v>
      </c>
      <c r="D41" s="413">
        <v>22560</v>
      </c>
      <c r="E41" s="408"/>
      <c r="F41" s="461">
        <f>10112.4+9564.92+1820.64+910.32+151.72</f>
        <v>22560</v>
      </c>
      <c r="G41" s="461"/>
      <c r="H41" s="413">
        <f>D41-F41</f>
        <v>0</v>
      </c>
      <c r="I41" s="414"/>
    </row>
    <row r="42" spans="1:9" s="330" customFormat="1" ht="12.75" customHeight="1" x14ac:dyDescent="0.25">
      <c r="A42" s="408"/>
      <c r="B42" s="410"/>
      <c r="C42" s="425" t="s">
        <v>403</v>
      </c>
      <c r="D42" s="413">
        <v>6705</v>
      </c>
      <c r="E42" s="408"/>
      <c r="F42" s="461">
        <f>6034.5+670.5</f>
        <v>6705</v>
      </c>
      <c r="G42" s="461"/>
      <c r="H42" s="413">
        <f>D42-F42</f>
        <v>0</v>
      </c>
      <c r="I42" s="414"/>
    </row>
    <row r="43" spans="1:9" s="330" customFormat="1" ht="12.75" customHeight="1" x14ac:dyDescent="0.25">
      <c r="A43" s="408"/>
      <c r="B43" s="410"/>
      <c r="C43" s="425" t="s">
        <v>625</v>
      </c>
      <c r="D43" s="413">
        <v>107393</v>
      </c>
      <c r="E43" s="408"/>
      <c r="F43" s="461"/>
      <c r="G43" s="461"/>
      <c r="H43" s="413">
        <f>D43-F43</f>
        <v>107393</v>
      </c>
      <c r="I43" s="414"/>
    </row>
    <row r="44" spans="1:9" s="330" customFormat="1" ht="12.75" customHeight="1" thickBot="1" x14ac:dyDescent="0.3">
      <c r="A44" s="408"/>
      <c r="B44" s="410"/>
      <c r="C44" s="427" t="s">
        <v>798</v>
      </c>
      <c r="D44" s="426">
        <f>SUM(D41:D43)+D32+D38</f>
        <v>628358</v>
      </c>
      <c r="E44" s="427"/>
      <c r="F44" s="426">
        <f>SUM(F32+F38+F41+F42)</f>
        <v>518579</v>
      </c>
      <c r="G44" s="427"/>
      <c r="H44" s="426">
        <f>SUM(H41:H43)+H32+H38</f>
        <v>109779</v>
      </c>
      <c r="I44" s="414"/>
    </row>
    <row r="45" spans="1:9" s="330" customFormat="1" ht="12.75" customHeight="1" thickTop="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4">
    <pageSetUpPr fitToPage="1"/>
  </sheetPr>
  <dimension ref="A1:I37"/>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4.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379</v>
      </c>
      <c r="B4" s="126"/>
      <c r="C4" s="127"/>
      <c r="D4" s="128" t="s">
        <v>380</v>
      </c>
      <c r="E4" s="124"/>
      <c r="F4" s="124"/>
      <c r="G4" s="124"/>
      <c r="H4" s="125"/>
      <c r="I4" s="125"/>
    </row>
    <row r="5" spans="1:9" ht="15.75" x14ac:dyDescent="0.25">
      <c r="A5" s="129" t="s">
        <v>109</v>
      </c>
      <c r="B5" s="130"/>
      <c r="C5" s="131"/>
      <c r="D5" s="132" t="s">
        <v>381</v>
      </c>
      <c r="E5" s="133"/>
      <c r="F5" s="134"/>
      <c r="G5" s="134"/>
      <c r="H5" s="130"/>
      <c r="I5" s="125"/>
    </row>
    <row r="6" spans="1:9" ht="15.75" x14ac:dyDescent="0.25">
      <c r="A6" s="86" t="str">
        <f>'RECAP #9279.40'!B6</f>
        <v>Project Manager - Jennifer K.</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382</v>
      </c>
      <c r="B9" s="409">
        <v>45660</v>
      </c>
      <c r="C9" s="410" t="s">
        <v>107</v>
      </c>
      <c r="D9" s="411">
        <v>41580</v>
      </c>
      <c r="E9" s="412">
        <f>D9</f>
        <v>41580</v>
      </c>
      <c r="F9" s="413"/>
      <c r="G9" s="413"/>
      <c r="H9" s="413">
        <f>E9</f>
        <v>41580</v>
      </c>
      <c r="I9" s="414"/>
    </row>
    <row r="10" spans="1:9" s="330" customFormat="1" ht="12.75" customHeight="1" x14ac:dyDescent="0.25">
      <c r="A10" s="408" t="s">
        <v>583</v>
      </c>
      <c r="B10" s="240">
        <v>45737</v>
      </c>
      <c r="C10" s="410" t="s">
        <v>584</v>
      </c>
      <c r="D10" s="412"/>
      <c r="E10" s="412">
        <f t="shared" ref="E10:E21" si="0">E9+D10</f>
        <v>41580</v>
      </c>
      <c r="F10" s="445">
        <v>2744</v>
      </c>
      <c r="G10" s="413">
        <f t="shared" ref="G10:G21" si="1">G9+F10</f>
        <v>2744</v>
      </c>
      <c r="H10" s="413">
        <f t="shared" ref="H10:H21" si="2">H9-F10+D10</f>
        <v>38836</v>
      </c>
      <c r="I10" s="414"/>
    </row>
    <row r="11" spans="1:9" s="330" customFormat="1" ht="12.75" customHeight="1" x14ac:dyDescent="0.25">
      <c r="A11" s="415" t="s">
        <v>916</v>
      </c>
      <c r="B11" s="480">
        <v>45841</v>
      </c>
      <c r="C11" s="417" t="s">
        <v>917</v>
      </c>
      <c r="D11" s="418"/>
      <c r="E11" s="418">
        <f t="shared" si="0"/>
        <v>41580</v>
      </c>
      <c r="F11" s="419">
        <v>686</v>
      </c>
      <c r="G11" s="420">
        <f t="shared" si="1"/>
        <v>3430</v>
      </c>
      <c r="H11" s="420">
        <f t="shared" si="2"/>
        <v>38150</v>
      </c>
      <c r="I11" s="421" t="s">
        <v>1015</v>
      </c>
    </row>
    <row r="12" spans="1:9" s="330" customFormat="1" ht="12.75" customHeight="1" x14ac:dyDescent="0.25">
      <c r="A12" s="408" t="s">
        <v>1029</v>
      </c>
      <c r="B12" s="409">
        <v>45889</v>
      </c>
      <c r="C12" s="410" t="s">
        <v>1017</v>
      </c>
      <c r="D12" s="411">
        <v>0</v>
      </c>
      <c r="E12" s="412">
        <f t="shared" si="0"/>
        <v>41580</v>
      </c>
      <c r="F12" s="445"/>
      <c r="G12" s="413">
        <f t="shared" si="1"/>
        <v>3430</v>
      </c>
      <c r="H12" s="413">
        <f t="shared" si="2"/>
        <v>38150</v>
      </c>
      <c r="I12" s="414"/>
    </row>
    <row r="13" spans="1:9" s="330" customFormat="1" ht="12.75" customHeight="1" x14ac:dyDescent="0.25">
      <c r="A13" s="408" t="s">
        <v>1029</v>
      </c>
      <c r="B13" s="240">
        <v>46013</v>
      </c>
      <c r="C13" s="410" t="s">
        <v>301</v>
      </c>
      <c r="D13" s="411">
        <v>9775</v>
      </c>
      <c r="E13" s="412">
        <f t="shared" si="0"/>
        <v>51355</v>
      </c>
      <c r="F13" s="422"/>
      <c r="G13" s="413">
        <f t="shared" si="1"/>
        <v>3430</v>
      </c>
      <c r="H13" s="413">
        <f t="shared" si="2"/>
        <v>47925</v>
      </c>
      <c r="I13" s="414"/>
    </row>
    <row r="14" spans="1:9" s="330" customFormat="1" ht="12.75" customHeight="1" x14ac:dyDescent="0.25">
      <c r="A14" s="408"/>
      <c r="B14" s="409"/>
      <c r="C14" s="410"/>
      <c r="D14" s="412"/>
      <c r="E14" s="412">
        <f t="shared" si="0"/>
        <v>51355</v>
      </c>
      <c r="F14" s="413"/>
      <c r="G14" s="413">
        <f t="shared" si="1"/>
        <v>3430</v>
      </c>
      <c r="H14" s="413">
        <f t="shared" si="2"/>
        <v>47925</v>
      </c>
      <c r="I14" s="414"/>
    </row>
    <row r="15" spans="1:9" s="330" customFormat="1" ht="12.75" customHeight="1" x14ac:dyDescent="0.25">
      <c r="A15" s="408"/>
      <c r="B15" s="409"/>
      <c r="C15" s="410"/>
      <c r="D15" s="412"/>
      <c r="E15" s="412">
        <f t="shared" si="0"/>
        <v>51355</v>
      </c>
      <c r="F15" s="422"/>
      <c r="G15" s="413">
        <f t="shared" si="1"/>
        <v>3430</v>
      </c>
      <c r="H15" s="413">
        <f t="shared" si="2"/>
        <v>47925</v>
      </c>
      <c r="I15" s="414"/>
    </row>
    <row r="16" spans="1:9" s="330" customFormat="1" ht="12.75" customHeight="1" x14ac:dyDescent="0.25">
      <c r="A16" s="408"/>
      <c r="B16" s="409"/>
      <c r="C16" s="410"/>
      <c r="D16" s="412"/>
      <c r="E16" s="412">
        <f t="shared" si="0"/>
        <v>51355</v>
      </c>
      <c r="F16" s="422"/>
      <c r="G16" s="413">
        <f t="shared" si="1"/>
        <v>3430</v>
      </c>
      <c r="H16" s="413">
        <f t="shared" si="2"/>
        <v>47925</v>
      </c>
      <c r="I16" s="414"/>
    </row>
    <row r="17" spans="1:9" s="330" customFormat="1" ht="12.75" customHeight="1" x14ac:dyDescent="0.25">
      <c r="A17" s="408"/>
      <c r="B17" s="409"/>
      <c r="C17" s="410"/>
      <c r="D17" s="412"/>
      <c r="E17" s="412">
        <f t="shared" si="0"/>
        <v>51355</v>
      </c>
      <c r="F17" s="422"/>
      <c r="G17" s="413">
        <f t="shared" si="1"/>
        <v>3430</v>
      </c>
      <c r="H17" s="413">
        <f t="shared" si="2"/>
        <v>47925</v>
      </c>
      <c r="I17" s="414"/>
    </row>
    <row r="18" spans="1:9" s="330" customFormat="1" ht="12.75" customHeight="1" x14ac:dyDescent="0.25">
      <c r="A18" s="408"/>
      <c r="B18" s="409"/>
      <c r="C18" s="410"/>
      <c r="D18" s="412"/>
      <c r="E18" s="412">
        <f t="shared" si="0"/>
        <v>51355</v>
      </c>
      <c r="F18" s="422"/>
      <c r="G18" s="413">
        <f t="shared" si="1"/>
        <v>3430</v>
      </c>
      <c r="H18" s="413">
        <f t="shared" si="2"/>
        <v>47925</v>
      </c>
      <c r="I18" s="414"/>
    </row>
    <row r="19" spans="1:9" s="330" customFormat="1" ht="12.75" customHeight="1" x14ac:dyDescent="0.25">
      <c r="A19" s="408"/>
      <c r="B19" s="409"/>
      <c r="C19" s="410"/>
      <c r="D19" s="412"/>
      <c r="E19" s="412">
        <f t="shared" si="0"/>
        <v>51355</v>
      </c>
      <c r="F19" s="413"/>
      <c r="G19" s="413">
        <f t="shared" si="1"/>
        <v>3430</v>
      </c>
      <c r="H19" s="413">
        <f t="shared" si="2"/>
        <v>47925</v>
      </c>
      <c r="I19" s="414"/>
    </row>
    <row r="20" spans="1:9" s="330" customFormat="1" ht="12.75" customHeight="1" x14ac:dyDescent="0.25">
      <c r="A20" s="408"/>
      <c r="B20" s="409"/>
      <c r="C20" s="410"/>
      <c r="D20" s="412"/>
      <c r="E20" s="412">
        <f t="shared" si="0"/>
        <v>51355</v>
      </c>
      <c r="F20" s="413"/>
      <c r="G20" s="413">
        <f t="shared" si="1"/>
        <v>3430</v>
      </c>
      <c r="H20" s="413">
        <f t="shared" si="2"/>
        <v>47925</v>
      </c>
      <c r="I20" s="414"/>
    </row>
    <row r="21" spans="1:9" s="330" customFormat="1" ht="12.75" customHeight="1" x14ac:dyDescent="0.25">
      <c r="A21" s="408"/>
      <c r="B21" s="409"/>
      <c r="C21" s="423"/>
      <c r="D21" s="412"/>
      <c r="E21" s="412">
        <f t="shared" si="0"/>
        <v>51355</v>
      </c>
      <c r="F21" s="413"/>
      <c r="G21" s="413">
        <f t="shared" si="1"/>
        <v>3430</v>
      </c>
      <c r="H21" s="413">
        <f t="shared" si="2"/>
        <v>47925</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51355</v>
      </c>
      <c r="E23" s="426"/>
      <c r="F23" s="426">
        <f>SUM(F9:F22)</f>
        <v>3430</v>
      </c>
      <c r="G23" s="426"/>
      <c r="H23" s="426">
        <f>D23-F23</f>
        <v>47925</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383</v>
      </c>
      <c r="D26" s="413">
        <v>3430</v>
      </c>
      <c r="E26" s="413"/>
      <c r="F26" s="413">
        <f>2744+686</f>
        <v>3430</v>
      </c>
      <c r="G26" s="413"/>
      <c r="H26" s="413">
        <f t="shared" ref="H26:H31" si="3">D26-F26</f>
        <v>0</v>
      </c>
      <c r="I26" s="414"/>
    </row>
    <row r="27" spans="1:9" s="330" customFormat="1" ht="12.75" customHeight="1" x14ac:dyDescent="0.25">
      <c r="A27" s="408"/>
      <c r="B27" s="410"/>
      <c r="C27" s="425" t="s">
        <v>384</v>
      </c>
      <c r="D27" s="413">
        <v>6090</v>
      </c>
      <c r="E27" s="413"/>
      <c r="F27" s="413"/>
      <c r="G27" s="413"/>
      <c r="H27" s="413">
        <f t="shared" si="3"/>
        <v>6090</v>
      </c>
      <c r="I27" s="414"/>
    </row>
    <row r="28" spans="1:9" s="330" customFormat="1" ht="12.75" customHeight="1" x14ac:dyDescent="0.25">
      <c r="A28" s="408"/>
      <c r="B28" s="410"/>
      <c r="C28" s="425" t="s">
        <v>385</v>
      </c>
      <c r="D28" s="413">
        <v>4130</v>
      </c>
      <c r="E28" s="413"/>
      <c r="F28" s="413"/>
      <c r="G28" s="413"/>
      <c r="H28" s="413">
        <f t="shared" si="3"/>
        <v>4130</v>
      </c>
      <c r="I28" s="414"/>
    </row>
    <row r="29" spans="1:9" s="330" customFormat="1" ht="12.75" customHeight="1" x14ac:dyDescent="0.25">
      <c r="A29" s="408"/>
      <c r="B29" s="410"/>
      <c r="C29" s="425" t="s">
        <v>386</v>
      </c>
      <c r="D29" s="413">
        <v>22820</v>
      </c>
      <c r="E29" s="413"/>
      <c r="F29" s="413"/>
      <c r="G29" s="413"/>
      <c r="H29" s="413">
        <f t="shared" si="3"/>
        <v>22820</v>
      </c>
      <c r="I29" s="414"/>
    </row>
    <row r="30" spans="1:9" s="330" customFormat="1" ht="12.75" customHeight="1" x14ac:dyDescent="0.25">
      <c r="A30" s="408"/>
      <c r="B30" s="410"/>
      <c r="C30" s="425" t="s">
        <v>387</v>
      </c>
      <c r="D30" s="413">
        <v>5110</v>
      </c>
      <c r="E30" s="413"/>
      <c r="F30" s="413"/>
      <c r="G30" s="413"/>
      <c r="H30" s="413">
        <f t="shared" si="3"/>
        <v>5110</v>
      </c>
      <c r="I30" s="414"/>
    </row>
    <row r="31" spans="1:9" s="330" customFormat="1" ht="12.75" customHeight="1" x14ac:dyDescent="0.25">
      <c r="A31" s="408"/>
      <c r="B31" s="410"/>
      <c r="C31" s="425" t="s">
        <v>301</v>
      </c>
      <c r="D31" s="413">
        <v>9775</v>
      </c>
      <c r="E31" s="413"/>
      <c r="F31" s="413"/>
      <c r="G31" s="413"/>
      <c r="H31" s="413">
        <f t="shared" si="3"/>
        <v>9775</v>
      </c>
      <c r="I31" s="414"/>
    </row>
    <row r="32" spans="1:9" s="330" customFormat="1" ht="12.75" customHeight="1" thickBot="1" x14ac:dyDescent="0.3">
      <c r="A32" s="408"/>
      <c r="B32" s="410"/>
      <c r="C32" s="427" t="s">
        <v>555</v>
      </c>
      <c r="D32" s="426">
        <f>SUM(D26:D31)</f>
        <v>51355</v>
      </c>
      <c r="E32" s="427"/>
      <c r="F32" s="426">
        <f>SUM(F26:F31)</f>
        <v>3430</v>
      </c>
      <c r="G32" s="427"/>
      <c r="H32" s="426">
        <f>SUM(H26:H31)</f>
        <v>47925</v>
      </c>
      <c r="I32" s="41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pageSetUpPr fitToPage="1"/>
  </sheetPr>
  <dimension ref="A1:I90"/>
  <sheetViews>
    <sheetView tabSelected="1" topLeftCell="A3"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71093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408</v>
      </c>
      <c r="B4" s="126"/>
      <c r="C4" s="127"/>
      <c r="D4" s="128" t="s">
        <v>200</v>
      </c>
      <c r="E4" s="124"/>
      <c r="F4" s="124"/>
      <c r="G4" s="124"/>
      <c r="H4" s="125"/>
      <c r="I4" s="125"/>
    </row>
    <row r="5" spans="1:9" ht="15.75" x14ac:dyDescent="0.25">
      <c r="A5" s="129" t="s">
        <v>109</v>
      </c>
      <c r="B5" s="130"/>
      <c r="C5" s="131"/>
      <c r="D5" s="132" t="s">
        <v>201</v>
      </c>
      <c r="E5" s="133"/>
      <c r="F5" s="134"/>
      <c r="G5" s="134"/>
      <c r="H5" s="130"/>
      <c r="I5" s="125"/>
    </row>
    <row r="6" spans="1:9" ht="15.75" x14ac:dyDescent="0.25">
      <c r="A6" s="86" t="str">
        <f>'RECAP #9279.40'!B6</f>
        <v>Project Manager - Jennifer K.</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422</v>
      </c>
      <c r="B9" s="409">
        <v>45667</v>
      </c>
      <c r="C9" s="410" t="s">
        <v>107</v>
      </c>
      <c r="D9" s="411">
        <v>36160</v>
      </c>
      <c r="E9" s="412">
        <f>D9</f>
        <v>36160</v>
      </c>
      <c r="F9" s="413"/>
      <c r="G9" s="413"/>
      <c r="H9" s="413">
        <f>E9</f>
        <v>36160</v>
      </c>
      <c r="I9" s="414"/>
    </row>
    <row r="10" spans="1:9" s="330" customFormat="1" ht="12.75" customHeight="1" x14ac:dyDescent="0.25">
      <c r="A10" s="415" t="s">
        <v>707</v>
      </c>
      <c r="B10" s="416">
        <v>45777</v>
      </c>
      <c r="C10" s="417" t="s">
        <v>708</v>
      </c>
      <c r="D10" s="418"/>
      <c r="E10" s="418">
        <f t="shared" ref="E10:E21" si="0">E9+D10</f>
        <v>36160</v>
      </c>
      <c r="F10" s="419">
        <v>2843.75</v>
      </c>
      <c r="G10" s="420">
        <f t="shared" ref="G10:G21" si="1">G9+F10</f>
        <v>2843.75</v>
      </c>
      <c r="H10" s="420">
        <f t="shared" ref="H10:H21" si="2">H9-F10+D10</f>
        <v>33316.25</v>
      </c>
      <c r="I10" s="421" t="s">
        <v>1015</v>
      </c>
    </row>
    <row r="11" spans="1:9" s="330" customFormat="1" ht="12.75" customHeight="1" x14ac:dyDescent="0.25">
      <c r="A11" s="408" t="s">
        <v>1028</v>
      </c>
      <c r="B11" s="409">
        <v>45889</v>
      </c>
      <c r="C11" s="410" t="s">
        <v>1017</v>
      </c>
      <c r="D11" s="411">
        <v>0</v>
      </c>
      <c r="E11" s="412">
        <f t="shared" si="0"/>
        <v>36160</v>
      </c>
      <c r="F11" s="422"/>
      <c r="G11" s="413">
        <f t="shared" si="1"/>
        <v>2843.75</v>
      </c>
      <c r="H11" s="413">
        <f t="shared" si="2"/>
        <v>33316.25</v>
      </c>
      <c r="I11" s="414"/>
    </row>
    <row r="12" spans="1:9" s="330" customFormat="1" ht="12.75" customHeight="1" x14ac:dyDescent="0.25">
      <c r="A12" s="408" t="s">
        <v>1397</v>
      </c>
      <c r="B12" s="409">
        <v>46001</v>
      </c>
      <c r="C12" s="410" t="s">
        <v>1398</v>
      </c>
      <c r="D12" s="412"/>
      <c r="E12" s="412">
        <f t="shared" si="0"/>
        <v>36160</v>
      </c>
      <c r="F12" s="445">
        <v>1555</v>
      </c>
      <c r="G12" s="413">
        <f t="shared" si="1"/>
        <v>4398.75</v>
      </c>
      <c r="H12" s="413">
        <f t="shared" si="2"/>
        <v>31761.25</v>
      </c>
      <c r="I12" s="414"/>
    </row>
    <row r="13" spans="1:9" s="330" customFormat="1" ht="12.75" customHeight="1" x14ac:dyDescent="0.25">
      <c r="A13" s="408" t="s">
        <v>1597</v>
      </c>
      <c r="B13" s="409">
        <v>46069</v>
      </c>
      <c r="C13" s="410" t="s">
        <v>1598</v>
      </c>
      <c r="D13" s="412"/>
      <c r="E13" s="412">
        <f t="shared" si="0"/>
        <v>36160</v>
      </c>
      <c r="F13" s="445">
        <v>285</v>
      </c>
      <c r="G13" s="413">
        <f t="shared" si="1"/>
        <v>4683.75</v>
      </c>
      <c r="H13" s="413">
        <f t="shared" si="2"/>
        <v>31476.25</v>
      </c>
      <c r="I13" s="414"/>
    </row>
    <row r="14" spans="1:9" s="330" customFormat="1" ht="12.75" customHeight="1" x14ac:dyDescent="0.25">
      <c r="A14" s="408"/>
      <c r="B14" s="409"/>
      <c r="C14" s="410"/>
      <c r="D14" s="412"/>
      <c r="E14" s="412">
        <f t="shared" si="0"/>
        <v>36160</v>
      </c>
      <c r="F14" s="413"/>
      <c r="G14" s="413">
        <f t="shared" si="1"/>
        <v>4683.75</v>
      </c>
      <c r="H14" s="413">
        <f t="shared" si="2"/>
        <v>31476.25</v>
      </c>
      <c r="I14" s="414"/>
    </row>
    <row r="15" spans="1:9" s="330" customFormat="1" ht="12.75" customHeight="1" x14ac:dyDescent="0.25">
      <c r="A15" s="408"/>
      <c r="B15" s="409"/>
      <c r="C15" s="410"/>
      <c r="D15" s="412"/>
      <c r="E15" s="412">
        <f t="shared" si="0"/>
        <v>36160</v>
      </c>
      <c r="F15" s="422"/>
      <c r="G15" s="413">
        <f t="shared" si="1"/>
        <v>4683.75</v>
      </c>
      <c r="H15" s="413">
        <f t="shared" si="2"/>
        <v>31476.25</v>
      </c>
      <c r="I15" s="414"/>
    </row>
    <row r="16" spans="1:9" s="330" customFormat="1" ht="12.75" customHeight="1" x14ac:dyDescent="0.25">
      <c r="A16" s="408"/>
      <c r="B16" s="409"/>
      <c r="C16" s="410"/>
      <c r="D16" s="412"/>
      <c r="E16" s="412">
        <f t="shared" si="0"/>
        <v>36160</v>
      </c>
      <c r="F16" s="422"/>
      <c r="G16" s="413">
        <f t="shared" si="1"/>
        <v>4683.75</v>
      </c>
      <c r="H16" s="413">
        <f t="shared" si="2"/>
        <v>31476.25</v>
      </c>
      <c r="I16" s="414"/>
    </row>
    <row r="17" spans="1:9" s="330" customFormat="1" ht="12.75" customHeight="1" x14ac:dyDescent="0.25">
      <c r="A17" s="408"/>
      <c r="B17" s="409"/>
      <c r="C17" s="410"/>
      <c r="D17" s="412"/>
      <c r="E17" s="412">
        <f t="shared" si="0"/>
        <v>36160</v>
      </c>
      <c r="F17" s="422"/>
      <c r="G17" s="413">
        <f t="shared" si="1"/>
        <v>4683.75</v>
      </c>
      <c r="H17" s="413">
        <f t="shared" si="2"/>
        <v>31476.25</v>
      </c>
      <c r="I17" s="414"/>
    </row>
    <row r="18" spans="1:9" s="330" customFormat="1" ht="12.75" customHeight="1" x14ac:dyDescent="0.25">
      <c r="A18" s="408"/>
      <c r="B18" s="409"/>
      <c r="C18" s="410"/>
      <c r="D18" s="412"/>
      <c r="E18" s="412">
        <f t="shared" si="0"/>
        <v>36160</v>
      </c>
      <c r="F18" s="422"/>
      <c r="G18" s="413">
        <f t="shared" si="1"/>
        <v>4683.75</v>
      </c>
      <c r="H18" s="413">
        <f t="shared" si="2"/>
        <v>31476.25</v>
      </c>
      <c r="I18" s="414"/>
    </row>
    <row r="19" spans="1:9" s="330" customFormat="1" ht="12.75" customHeight="1" x14ac:dyDescent="0.25">
      <c r="A19" s="408"/>
      <c r="B19" s="409"/>
      <c r="C19" s="410"/>
      <c r="D19" s="412"/>
      <c r="E19" s="412">
        <f t="shared" si="0"/>
        <v>36160</v>
      </c>
      <c r="F19" s="413"/>
      <c r="G19" s="413">
        <f t="shared" si="1"/>
        <v>4683.75</v>
      </c>
      <c r="H19" s="413">
        <f t="shared" si="2"/>
        <v>31476.25</v>
      </c>
      <c r="I19" s="414"/>
    </row>
    <row r="20" spans="1:9" s="330" customFormat="1" ht="12.75" customHeight="1" x14ac:dyDescent="0.25">
      <c r="A20" s="408"/>
      <c r="B20" s="409"/>
      <c r="C20" s="410"/>
      <c r="D20" s="412"/>
      <c r="E20" s="412">
        <f t="shared" si="0"/>
        <v>36160</v>
      </c>
      <c r="F20" s="413"/>
      <c r="G20" s="413">
        <f t="shared" si="1"/>
        <v>4683.75</v>
      </c>
      <c r="H20" s="413">
        <f t="shared" si="2"/>
        <v>31476.25</v>
      </c>
      <c r="I20" s="414"/>
    </row>
    <row r="21" spans="1:9" s="330" customFormat="1" ht="12.75" customHeight="1" x14ac:dyDescent="0.25">
      <c r="A21" s="408"/>
      <c r="B21" s="409"/>
      <c r="C21" s="423"/>
      <c r="D21" s="412"/>
      <c r="E21" s="412">
        <f t="shared" si="0"/>
        <v>36160</v>
      </c>
      <c r="F21" s="413"/>
      <c r="G21" s="413">
        <f t="shared" si="1"/>
        <v>4683.75</v>
      </c>
      <c r="H21" s="413">
        <f t="shared" si="2"/>
        <v>31476.25</v>
      </c>
      <c r="I21" s="414"/>
    </row>
    <row r="22" spans="1:9" x14ac:dyDescent="0.25">
      <c r="A22" s="144"/>
      <c r="B22" s="146"/>
      <c r="C22" s="152"/>
      <c r="D22" s="148"/>
      <c r="E22" s="148"/>
      <c r="F22" s="148"/>
      <c r="G22" s="148"/>
      <c r="H22" s="148"/>
      <c r="I22" s="149"/>
    </row>
    <row r="23" spans="1:9" ht="15.75" thickBot="1" x14ac:dyDescent="0.3">
      <c r="A23" s="144"/>
      <c r="B23" s="153"/>
      <c r="C23" s="154" t="s">
        <v>54</v>
      </c>
      <c r="D23" s="123">
        <f>SUM(D9:D22)</f>
        <v>36160</v>
      </c>
      <c r="E23" s="123"/>
      <c r="F23" s="123">
        <f>SUM(F9:F22)</f>
        <v>4683.75</v>
      </c>
      <c r="G23" s="123"/>
      <c r="H23" s="123">
        <f>D23-F23</f>
        <v>31476.25</v>
      </c>
      <c r="I23" s="149"/>
    </row>
    <row r="24" spans="1:9" ht="15.75" thickTop="1" x14ac:dyDescent="0.25">
      <c r="A24" s="144"/>
      <c r="B24" s="146"/>
      <c r="C24" s="152"/>
      <c r="D24" s="148"/>
      <c r="E24" s="148"/>
      <c r="F24" s="148"/>
      <c r="G24" s="148"/>
      <c r="H24" s="148"/>
      <c r="I24" s="149"/>
    </row>
    <row r="25" spans="1:9" x14ac:dyDescent="0.25">
      <c r="A25" s="144"/>
      <c r="B25" s="146"/>
      <c r="C25" s="152"/>
      <c r="D25" s="148"/>
      <c r="E25" s="148"/>
      <c r="F25" s="148"/>
      <c r="G25" s="148"/>
      <c r="H25" s="148"/>
      <c r="I25" s="149"/>
    </row>
    <row r="26" spans="1:9" s="330" customFormat="1" ht="12.75" customHeight="1" x14ac:dyDescent="0.25">
      <c r="A26" s="408"/>
      <c r="B26" s="410"/>
      <c r="C26" s="424" t="s">
        <v>409</v>
      </c>
      <c r="D26" s="413"/>
      <c r="E26" s="413"/>
      <c r="F26" s="413"/>
      <c r="G26" s="413"/>
      <c r="H26" s="413"/>
      <c r="I26" s="414"/>
    </row>
    <row r="27" spans="1:9" s="330" customFormat="1" ht="12.75" customHeight="1" x14ac:dyDescent="0.25">
      <c r="A27" s="408"/>
      <c r="B27" s="410"/>
      <c r="C27" s="425" t="s">
        <v>1823</v>
      </c>
      <c r="D27" s="413">
        <v>600</v>
      </c>
      <c r="E27" s="413"/>
      <c r="F27" s="413">
        <f>20</f>
        <v>20</v>
      </c>
      <c r="G27" s="413"/>
      <c r="H27" s="413">
        <f>D27-F27</f>
        <v>580</v>
      </c>
      <c r="I27" s="414"/>
    </row>
    <row r="28" spans="1:9" s="330" customFormat="1" ht="12.75" customHeight="1" x14ac:dyDescent="0.25">
      <c r="A28" s="408"/>
      <c r="B28" s="410"/>
      <c r="C28" s="425" t="s">
        <v>410</v>
      </c>
      <c r="D28" s="413">
        <v>150</v>
      </c>
      <c r="E28" s="413"/>
      <c r="F28" s="413"/>
      <c r="G28" s="413"/>
      <c r="H28" s="413">
        <f>D28-F28</f>
        <v>150</v>
      </c>
      <c r="I28" s="414"/>
    </row>
    <row r="29" spans="1:9" s="330" customFormat="1" ht="12.75" customHeight="1" x14ac:dyDescent="0.25">
      <c r="A29" s="408"/>
      <c r="B29" s="410"/>
      <c r="C29" s="425" t="s">
        <v>411</v>
      </c>
      <c r="D29" s="413">
        <v>180</v>
      </c>
      <c r="E29" s="413"/>
      <c r="F29" s="413">
        <f>45+45</f>
        <v>90</v>
      </c>
      <c r="G29" s="413"/>
      <c r="H29" s="413">
        <f>D29-F29</f>
        <v>90</v>
      </c>
      <c r="I29" s="414"/>
    </row>
    <row r="30" spans="1:9" s="330" customFormat="1" ht="12.75" customHeight="1" x14ac:dyDescent="0.25">
      <c r="A30" s="408"/>
      <c r="B30" s="410"/>
      <c r="C30" s="425" t="s">
        <v>412</v>
      </c>
      <c r="D30" s="413">
        <v>3375</v>
      </c>
      <c r="E30" s="413"/>
      <c r="F30" s="413">
        <f>750</f>
        <v>750</v>
      </c>
      <c r="G30" s="413"/>
      <c r="H30" s="413">
        <f>D30-F30</f>
        <v>2625</v>
      </c>
      <c r="I30" s="414"/>
    </row>
    <row r="31" spans="1:9" s="330" customFormat="1" ht="12.75" customHeight="1" x14ac:dyDescent="0.25">
      <c r="A31" s="408"/>
      <c r="B31" s="410"/>
      <c r="C31" s="425" t="s">
        <v>1824</v>
      </c>
      <c r="D31" s="413">
        <v>4750</v>
      </c>
      <c r="E31" s="413"/>
      <c r="F31" s="413">
        <f>2778.75+760+285</f>
        <v>3823.75</v>
      </c>
      <c r="G31" s="413"/>
      <c r="H31" s="413">
        <f>D31-F31</f>
        <v>926.25</v>
      </c>
      <c r="I31" s="414"/>
    </row>
    <row r="32" spans="1:9" s="330" customFormat="1" ht="12.75" customHeight="1" thickBot="1" x14ac:dyDescent="0.3">
      <c r="A32" s="408"/>
      <c r="B32" s="410"/>
      <c r="C32" s="424" t="s">
        <v>555</v>
      </c>
      <c r="D32" s="426">
        <f>SUM(D27:D31)</f>
        <v>9055</v>
      </c>
      <c r="E32" s="427"/>
      <c r="F32" s="426">
        <f>SUM(F27:F31)</f>
        <v>4683.75</v>
      </c>
      <c r="G32" s="427"/>
      <c r="H32" s="426">
        <f>SUM(H27:H31)</f>
        <v>4371.25</v>
      </c>
      <c r="I32" s="414"/>
    </row>
    <row r="33" spans="1:9" s="330" customFormat="1" ht="12.75" customHeight="1" thickTop="1" x14ac:dyDescent="0.25">
      <c r="A33" s="408"/>
      <c r="B33" s="410"/>
      <c r="C33" s="425"/>
      <c r="D33" s="413"/>
      <c r="E33" s="413"/>
      <c r="F33" s="413"/>
      <c r="G33" s="413"/>
      <c r="H33" s="413"/>
      <c r="I33" s="414"/>
    </row>
    <row r="34" spans="1:9" s="330" customFormat="1" ht="12.75" customHeight="1" x14ac:dyDescent="0.25">
      <c r="A34" s="408"/>
      <c r="B34" s="410"/>
      <c r="C34" s="424" t="s">
        <v>413</v>
      </c>
      <c r="D34" s="413"/>
      <c r="E34" s="413"/>
      <c r="F34" s="413"/>
      <c r="G34" s="413"/>
      <c r="H34" s="413"/>
      <c r="I34" s="414"/>
    </row>
    <row r="35" spans="1:9" s="330" customFormat="1" ht="12.75" customHeight="1" x14ac:dyDescent="0.25">
      <c r="A35" s="408"/>
      <c r="B35" s="410"/>
      <c r="C35" s="425" t="s">
        <v>209</v>
      </c>
      <c r="D35" s="413">
        <v>135</v>
      </c>
      <c r="E35" s="413"/>
      <c r="F35" s="413"/>
      <c r="G35" s="413"/>
      <c r="H35" s="413">
        <f>D35-F35</f>
        <v>135</v>
      </c>
      <c r="I35" s="414"/>
    </row>
    <row r="36" spans="1:9" s="330" customFormat="1" ht="12.75" customHeight="1" x14ac:dyDescent="0.25">
      <c r="A36" s="408"/>
      <c r="B36" s="410"/>
      <c r="C36" s="425" t="s">
        <v>414</v>
      </c>
      <c r="D36" s="413">
        <v>900</v>
      </c>
      <c r="E36" s="413"/>
      <c r="F36" s="413"/>
      <c r="G36" s="413"/>
      <c r="H36" s="413">
        <f>D36-F36</f>
        <v>900</v>
      </c>
      <c r="I36" s="414"/>
    </row>
    <row r="37" spans="1:9" s="330" customFormat="1" ht="12.75" customHeight="1" x14ac:dyDescent="0.25">
      <c r="A37" s="408"/>
      <c r="B37" s="410"/>
      <c r="C37" s="425" t="s">
        <v>1825</v>
      </c>
      <c r="D37" s="413">
        <v>4275</v>
      </c>
      <c r="E37" s="413"/>
      <c r="F37" s="413"/>
      <c r="G37" s="413"/>
      <c r="H37" s="413">
        <f>D37-F37</f>
        <v>4275</v>
      </c>
      <c r="I37" s="414"/>
    </row>
    <row r="38" spans="1:9" s="330" customFormat="1" ht="12.75" customHeight="1" thickBot="1" x14ac:dyDescent="0.3">
      <c r="A38" s="408"/>
      <c r="B38" s="410"/>
      <c r="C38" s="424" t="s">
        <v>555</v>
      </c>
      <c r="D38" s="426">
        <f>SUM(D33:D37)</f>
        <v>5310</v>
      </c>
      <c r="E38" s="427"/>
      <c r="F38" s="426">
        <f>SUM(F33:F37)</f>
        <v>0</v>
      </c>
      <c r="G38" s="427"/>
      <c r="H38" s="426">
        <f>SUM(H33:H37)</f>
        <v>5310</v>
      </c>
      <c r="I38" s="414"/>
    </row>
    <row r="39" spans="1:9" s="330" customFormat="1" ht="12.75" customHeight="1" thickTop="1" x14ac:dyDescent="0.25">
      <c r="A39" s="408"/>
      <c r="B39" s="410"/>
      <c r="C39" s="425"/>
      <c r="D39" s="413"/>
      <c r="E39" s="413"/>
      <c r="F39" s="413"/>
      <c r="G39" s="413"/>
      <c r="H39" s="413"/>
      <c r="I39" s="414"/>
    </row>
    <row r="40" spans="1:9" s="330" customFormat="1" ht="12.75" customHeight="1" x14ac:dyDescent="0.25">
      <c r="A40" s="408"/>
      <c r="B40" s="410"/>
      <c r="C40" s="424" t="s">
        <v>207</v>
      </c>
      <c r="D40" s="413"/>
      <c r="E40" s="413"/>
      <c r="F40" s="413"/>
      <c r="G40" s="413"/>
      <c r="H40" s="413"/>
      <c r="I40" s="414"/>
    </row>
    <row r="41" spans="1:9" s="330" customFormat="1" ht="12.75" customHeight="1" x14ac:dyDescent="0.25">
      <c r="A41" s="408"/>
      <c r="B41" s="410"/>
      <c r="C41" s="425" t="s">
        <v>209</v>
      </c>
      <c r="D41" s="413">
        <v>135</v>
      </c>
      <c r="E41" s="413"/>
      <c r="F41" s="413"/>
      <c r="G41" s="413"/>
      <c r="H41" s="413">
        <f>D41-F41</f>
        <v>135</v>
      </c>
      <c r="I41" s="414"/>
    </row>
    <row r="42" spans="1:9" s="330" customFormat="1" ht="12.75" customHeight="1" x14ac:dyDescent="0.25">
      <c r="A42" s="408"/>
      <c r="B42" s="410"/>
      <c r="C42" s="425" t="s">
        <v>415</v>
      </c>
      <c r="D42" s="413">
        <v>1800</v>
      </c>
      <c r="E42" s="413"/>
      <c r="F42" s="413"/>
      <c r="G42" s="413"/>
      <c r="H42" s="413">
        <f>D42-F42</f>
        <v>1800</v>
      </c>
      <c r="I42" s="414"/>
    </row>
    <row r="43" spans="1:9" s="330" customFormat="1" ht="12.75" customHeight="1" x14ac:dyDescent="0.25">
      <c r="A43" s="408"/>
      <c r="B43" s="410"/>
      <c r="C43" s="425" t="s">
        <v>1826</v>
      </c>
      <c r="D43" s="413">
        <v>570</v>
      </c>
      <c r="E43" s="413"/>
      <c r="F43" s="413"/>
      <c r="G43" s="413"/>
      <c r="H43" s="413">
        <f>D43-F43</f>
        <v>570</v>
      </c>
      <c r="I43" s="414"/>
    </row>
    <row r="44" spans="1:9" s="330" customFormat="1" ht="12.75" customHeight="1" thickBot="1" x14ac:dyDescent="0.3">
      <c r="A44" s="408"/>
      <c r="B44" s="410"/>
      <c r="C44" s="424" t="s">
        <v>555</v>
      </c>
      <c r="D44" s="426">
        <f>SUM(D41:D43)</f>
        <v>2505</v>
      </c>
      <c r="E44" s="427"/>
      <c r="F44" s="426">
        <f>SUM(F41:F43)</f>
        <v>0</v>
      </c>
      <c r="G44" s="427"/>
      <c r="H44" s="426">
        <f>SUM(H41:H43)</f>
        <v>2505</v>
      </c>
      <c r="I44" s="414"/>
    </row>
    <row r="45" spans="1:9" s="330" customFormat="1" ht="12.75" customHeight="1" thickTop="1" x14ac:dyDescent="0.25">
      <c r="A45" s="408"/>
      <c r="B45" s="410"/>
      <c r="C45" s="425"/>
      <c r="D45" s="413"/>
      <c r="E45" s="413"/>
      <c r="F45" s="413"/>
      <c r="G45" s="413"/>
      <c r="H45" s="413"/>
      <c r="I45" s="414"/>
    </row>
    <row r="46" spans="1:9" s="330" customFormat="1" ht="12.75" customHeight="1" x14ac:dyDescent="0.25">
      <c r="A46" s="408"/>
      <c r="B46" s="410"/>
      <c r="C46" s="424" t="s">
        <v>211</v>
      </c>
      <c r="D46" s="413"/>
      <c r="E46" s="413"/>
      <c r="F46" s="413"/>
      <c r="G46" s="413"/>
      <c r="H46" s="413"/>
      <c r="I46" s="414"/>
    </row>
    <row r="47" spans="1:9" s="330" customFormat="1" ht="12.75" customHeight="1" x14ac:dyDescent="0.25">
      <c r="A47" s="408"/>
      <c r="B47" s="410"/>
      <c r="C47" s="425" t="s">
        <v>416</v>
      </c>
      <c r="D47" s="413">
        <v>45</v>
      </c>
      <c r="E47" s="413"/>
      <c r="F47" s="413"/>
      <c r="G47" s="413"/>
      <c r="H47" s="413">
        <f>D47-F47</f>
        <v>45</v>
      </c>
      <c r="I47" s="414"/>
    </row>
    <row r="48" spans="1:9" s="330" customFormat="1" ht="12.75" customHeight="1" x14ac:dyDescent="0.25">
      <c r="A48" s="408"/>
      <c r="B48" s="410"/>
      <c r="C48" s="425" t="s">
        <v>417</v>
      </c>
      <c r="D48" s="413">
        <v>600</v>
      </c>
      <c r="E48" s="413"/>
      <c r="F48" s="413"/>
      <c r="G48" s="413"/>
      <c r="H48" s="413">
        <f>D48-F48</f>
        <v>600</v>
      </c>
      <c r="I48" s="414"/>
    </row>
    <row r="49" spans="1:9" s="330" customFormat="1" ht="12.75" customHeight="1" x14ac:dyDescent="0.25">
      <c r="A49" s="408"/>
      <c r="B49" s="410"/>
      <c r="C49" s="425" t="s">
        <v>1827</v>
      </c>
      <c r="D49" s="413">
        <v>285</v>
      </c>
      <c r="E49" s="413"/>
      <c r="F49" s="413"/>
      <c r="G49" s="413"/>
      <c r="H49" s="413">
        <f>D49-F49</f>
        <v>285</v>
      </c>
      <c r="I49" s="414"/>
    </row>
    <row r="50" spans="1:9" s="330" customFormat="1" ht="12.75" customHeight="1" thickBot="1" x14ac:dyDescent="0.3">
      <c r="A50" s="408"/>
      <c r="B50" s="410"/>
      <c r="C50" s="424" t="s">
        <v>555</v>
      </c>
      <c r="D50" s="426">
        <f>SUM(D47:D49)</f>
        <v>930</v>
      </c>
      <c r="E50" s="427"/>
      <c r="F50" s="426">
        <f>SUM(F47:F49)</f>
        <v>0</v>
      </c>
      <c r="G50" s="427"/>
      <c r="H50" s="426">
        <f>SUM(H47:H49)</f>
        <v>930</v>
      </c>
      <c r="I50" s="414"/>
    </row>
    <row r="51" spans="1:9" s="330" customFormat="1" ht="12.75" customHeight="1" thickTop="1" x14ac:dyDescent="0.25">
      <c r="A51" s="408"/>
      <c r="B51" s="410"/>
      <c r="C51" s="427"/>
      <c r="D51" s="427"/>
      <c r="E51" s="427"/>
      <c r="F51" s="427"/>
      <c r="G51" s="427"/>
      <c r="H51" s="427"/>
      <c r="I51" s="414"/>
    </row>
    <row r="52" spans="1:9" s="330" customFormat="1" ht="12.75" customHeight="1" x14ac:dyDescent="0.25">
      <c r="A52" s="408"/>
      <c r="B52" s="410"/>
      <c r="C52" s="427" t="s">
        <v>212</v>
      </c>
      <c r="D52" s="427"/>
      <c r="E52" s="427"/>
      <c r="F52" s="427"/>
      <c r="G52" s="427"/>
      <c r="H52" s="427"/>
      <c r="I52" s="414"/>
    </row>
    <row r="53" spans="1:9" s="330" customFormat="1" ht="12.75" customHeight="1" x14ac:dyDescent="0.25">
      <c r="A53" s="408"/>
      <c r="B53" s="410"/>
      <c r="C53" s="425" t="s">
        <v>411</v>
      </c>
      <c r="D53" s="413">
        <v>180</v>
      </c>
      <c r="E53" s="427"/>
      <c r="F53" s="427"/>
      <c r="G53" s="427"/>
      <c r="H53" s="413">
        <f>D53-F53</f>
        <v>180</v>
      </c>
      <c r="I53" s="414"/>
    </row>
    <row r="54" spans="1:9" s="330" customFormat="1" ht="12.75" customHeight="1" x14ac:dyDescent="0.25">
      <c r="A54" s="408"/>
      <c r="B54" s="410"/>
      <c r="C54" s="425" t="s">
        <v>418</v>
      </c>
      <c r="D54" s="413">
        <v>3600</v>
      </c>
      <c r="E54" s="427"/>
      <c r="F54" s="427"/>
      <c r="G54" s="427"/>
      <c r="H54" s="413">
        <f>D54-F54</f>
        <v>3600</v>
      </c>
      <c r="I54" s="414"/>
    </row>
    <row r="55" spans="1:9" s="330" customFormat="1" ht="12.75" customHeight="1" x14ac:dyDescent="0.25">
      <c r="A55" s="408"/>
      <c r="B55" s="410"/>
      <c r="C55" s="425" t="s">
        <v>1828</v>
      </c>
      <c r="D55" s="413">
        <v>1425</v>
      </c>
      <c r="E55" s="427"/>
      <c r="F55" s="427"/>
      <c r="G55" s="427"/>
      <c r="H55" s="413">
        <f>D55-F55</f>
        <v>1425</v>
      </c>
      <c r="I55" s="414"/>
    </row>
    <row r="56" spans="1:9" s="330" customFormat="1" ht="12.75" customHeight="1" thickBot="1" x14ac:dyDescent="0.3">
      <c r="A56" s="408"/>
      <c r="B56" s="410"/>
      <c r="C56" s="424" t="s">
        <v>555</v>
      </c>
      <c r="D56" s="426">
        <f>SUM(D53:D55)</f>
        <v>5205</v>
      </c>
      <c r="E56" s="427"/>
      <c r="F56" s="426">
        <f>SUM(F53:F55)</f>
        <v>0</v>
      </c>
      <c r="G56" s="427"/>
      <c r="H56" s="426">
        <f>SUM(H53:H55)</f>
        <v>5205</v>
      </c>
      <c r="I56" s="414"/>
    </row>
    <row r="57" spans="1:9" s="330" customFormat="1" ht="12.75" customHeight="1" thickTop="1" x14ac:dyDescent="0.25">
      <c r="A57" s="408"/>
      <c r="B57" s="410"/>
      <c r="C57" s="425"/>
      <c r="D57" s="413"/>
      <c r="E57" s="427"/>
      <c r="F57" s="427"/>
      <c r="G57" s="427"/>
      <c r="H57" s="427"/>
      <c r="I57" s="414"/>
    </row>
    <row r="58" spans="1:9" s="330" customFormat="1" ht="12.75" customHeight="1" x14ac:dyDescent="0.25">
      <c r="A58" s="408"/>
      <c r="B58" s="410"/>
      <c r="C58" s="427" t="s">
        <v>213</v>
      </c>
      <c r="D58" s="427"/>
      <c r="E58" s="427"/>
      <c r="F58" s="427"/>
      <c r="G58" s="427"/>
      <c r="H58" s="427"/>
      <c r="I58" s="414"/>
    </row>
    <row r="59" spans="1:9" s="330" customFormat="1" ht="12.75" customHeight="1" x14ac:dyDescent="0.25">
      <c r="A59" s="408"/>
      <c r="B59" s="410"/>
      <c r="C59" s="425" t="s">
        <v>411</v>
      </c>
      <c r="D59" s="413">
        <v>180</v>
      </c>
      <c r="E59" s="427"/>
      <c r="F59" s="427"/>
      <c r="G59" s="427"/>
      <c r="H59" s="413">
        <f>D59-F59</f>
        <v>180</v>
      </c>
      <c r="I59" s="414"/>
    </row>
    <row r="60" spans="1:9" s="330" customFormat="1" ht="12.75" customHeight="1" x14ac:dyDescent="0.25">
      <c r="A60" s="408"/>
      <c r="B60" s="410"/>
      <c r="C60" s="425" t="s">
        <v>418</v>
      </c>
      <c r="D60" s="413">
        <v>3600</v>
      </c>
      <c r="E60" s="427"/>
      <c r="F60" s="427"/>
      <c r="G60" s="427"/>
      <c r="H60" s="413">
        <f>D60-F60</f>
        <v>3600</v>
      </c>
      <c r="I60" s="414"/>
    </row>
    <row r="61" spans="1:9" s="330" customFormat="1" ht="12.75" customHeight="1" x14ac:dyDescent="0.25">
      <c r="A61" s="408"/>
      <c r="B61" s="410"/>
      <c r="C61" s="425" t="s">
        <v>1829</v>
      </c>
      <c r="D61" s="413">
        <v>1425</v>
      </c>
      <c r="E61" s="427"/>
      <c r="F61" s="427"/>
      <c r="G61" s="427"/>
      <c r="H61" s="413">
        <f>D61-F61</f>
        <v>1425</v>
      </c>
      <c r="I61" s="414"/>
    </row>
    <row r="62" spans="1:9" s="330" customFormat="1" ht="12.75" customHeight="1" thickBot="1" x14ac:dyDescent="0.3">
      <c r="A62" s="408"/>
      <c r="B62" s="410"/>
      <c r="C62" s="424" t="s">
        <v>555</v>
      </c>
      <c r="D62" s="426">
        <f>SUM(D59:D61)</f>
        <v>5205</v>
      </c>
      <c r="E62" s="427"/>
      <c r="F62" s="426">
        <f>SUM(F59:F61)</f>
        <v>0</v>
      </c>
      <c r="G62" s="427"/>
      <c r="H62" s="426">
        <f>SUM(H59:H61)</f>
        <v>5205</v>
      </c>
      <c r="I62" s="414"/>
    </row>
    <row r="63" spans="1:9" s="330" customFormat="1" ht="12.75" customHeight="1" thickTop="1" x14ac:dyDescent="0.25">
      <c r="A63" s="408"/>
      <c r="B63" s="410"/>
      <c r="C63" s="425"/>
      <c r="D63" s="413"/>
      <c r="E63" s="427"/>
      <c r="F63" s="427"/>
      <c r="G63" s="427"/>
      <c r="H63" s="427"/>
      <c r="I63" s="414"/>
    </row>
    <row r="64" spans="1:9" s="330" customFormat="1" ht="12.75" customHeight="1" x14ac:dyDescent="0.25">
      <c r="A64" s="408"/>
      <c r="B64" s="410"/>
      <c r="C64" s="427" t="s">
        <v>419</v>
      </c>
      <c r="D64" s="413"/>
      <c r="E64" s="427"/>
      <c r="F64" s="427"/>
      <c r="G64" s="427"/>
      <c r="H64" s="427"/>
      <c r="I64" s="414"/>
    </row>
    <row r="65" spans="1:9" s="330" customFormat="1" ht="12.75" customHeight="1" x14ac:dyDescent="0.25">
      <c r="A65" s="408"/>
      <c r="B65" s="410"/>
      <c r="C65" s="425" t="s">
        <v>209</v>
      </c>
      <c r="D65" s="413">
        <v>135</v>
      </c>
      <c r="E65" s="427"/>
      <c r="F65" s="427"/>
      <c r="G65" s="427"/>
      <c r="H65" s="413">
        <f>D65-F65</f>
        <v>135</v>
      </c>
      <c r="I65" s="414"/>
    </row>
    <row r="66" spans="1:9" s="330" customFormat="1" ht="12.75" customHeight="1" x14ac:dyDescent="0.25">
      <c r="A66" s="408"/>
      <c r="B66" s="410"/>
      <c r="C66" s="425" t="s">
        <v>420</v>
      </c>
      <c r="D66" s="413">
        <v>2700</v>
      </c>
      <c r="E66" s="427"/>
      <c r="F66" s="427"/>
      <c r="G66" s="427"/>
      <c r="H66" s="413">
        <f>D66-F66</f>
        <v>2700</v>
      </c>
      <c r="I66" s="414"/>
    </row>
    <row r="67" spans="1:9" s="330" customFormat="1" ht="12.75" customHeight="1" x14ac:dyDescent="0.25">
      <c r="A67" s="408"/>
      <c r="B67" s="410"/>
      <c r="C67" s="425" t="s">
        <v>1830</v>
      </c>
      <c r="D67" s="413">
        <v>1140</v>
      </c>
      <c r="E67" s="427"/>
      <c r="F67" s="427"/>
      <c r="G67" s="427"/>
      <c r="H67" s="413">
        <f>D67-F67</f>
        <v>1140</v>
      </c>
      <c r="I67" s="414"/>
    </row>
    <row r="68" spans="1:9" s="330" customFormat="1" ht="12.75" customHeight="1" thickBot="1" x14ac:dyDescent="0.3">
      <c r="A68" s="408"/>
      <c r="B68" s="410"/>
      <c r="C68" s="424" t="s">
        <v>555</v>
      </c>
      <c r="D68" s="426">
        <f>SUM(D65:D67)</f>
        <v>3975</v>
      </c>
      <c r="E68" s="427"/>
      <c r="F68" s="426">
        <f>SUM(F65:F67)</f>
        <v>0</v>
      </c>
      <c r="G68" s="427"/>
      <c r="H68" s="426">
        <f>SUM(H65:H67)</f>
        <v>3975</v>
      </c>
      <c r="I68" s="414"/>
    </row>
    <row r="69" spans="1:9" s="330" customFormat="1" ht="12.75" customHeight="1" thickTop="1" x14ac:dyDescent="0.25">
      <c r="A69" s="408"/>
      <c r="B69" s="410"/>
      <c r="C69" s="424"/>
      <c r="D69" s="427"/>
      <c r="E69" s="427"/>
      <c r="F69" s="427"/>
      <c r="G69" s="427"/>
      <c r="H69" s="427"/>
      <c r="I69" s="414"/>
    </row>
    <row r="70" spans="1:9" s="330" customFormat="1" ht="12.75" customHeight="1" x14ac:dyDescent="0.25">
      <c r="A70" s="408"/>
      <c r="B70" s="410"/>
      <c r="C70" s="427" t="s">
        <v>421</v>
      </c>
      <c r="D70" s="413"/>
      <c r="E70" s="427"/>
      <c r="F70" s="427"/>
      <c r="G70" s="427"/>
      <c r="H70" s="427"/>
      <c r="I70" s="414"/>
    </row>
    <row r="71" spans="1:9" s="330" customFormat="1" ht="12.75" customHeight="1" x14ac:dyDescent="0.25">
      <c r="A71" s="408"/>
      <c r="B71" s="410"/>
      <c r="C71" s="425" t="s">
        <v>209</v>
      </c>
      <c r="D71" s="413">
        <v>135</v>
      </c>
      <c r="E71" s="427"/>
      <c r="F71" s="427"/>
      <c r="G71" s="427"/>
      <c r="H71" s="413">
        <f>D71-F71</f>
        <v>135</v>
      </c>
      <c r="I71" s="414"/>
    </row>
    <row r="72" spans="1:9" s="330" customFormat="1" ht="12.75" customHeight="1" x14ac:dyDescent="0.25">
      <c r="A72" s="408"/>
      <c r="B72" s="410"/>
      <c r="C72" s="425" t="s">
        <v>420</v>
      </c>
      <c r="D72" s="413">
        <v>2700</v>
      </c>
      <c r="E72" s="427"/>
      <c r="F72" s="427"/>
      <c r="G72" s="427"/>
      <c r="H72" s="413">
        <f>D72-F72</f>
        <v>2700</v>
      </c>
      <c r="I72" s="414"/>
    </row>
    <row r="73" spans="1:9" s="330" customFormat="1" ht="12.75" customHeight="1" x14ac:dyDescent="0.25">
      <c r="A73" s="408"/>
      <c r="B73" s="410"/>
      <c r="C73" s="425" t="s">
        <v>1830</v>
      </c>
      <c r="D73" s="413">
        <v>1140</v>
      </c>
      <c r="E73" s="427"/>
      <c r="F73" s="427"/>
      <c r="G73" s="427"/>
      <c r="H73" s="413">
        <f>D73-F73</f>
        <v>1140</v>
      </c>
      <c r="I73" s="414"/>
    </row>
    <row r="74" spans="1:9" s="330" customFormat="1" ht="12.75" customHeight="1" thickBot="1" x14ac:dyDescent="0.3">
      <c r="A74" s="408"/>
      <c r="B74" s="410"/>
      <c r="C74" s="424" t="s">
        <v>555</v>
      </c>
      <c r="D74" s="426">
        <f>SUM(D71:D73)</f>
        <v>3975</v>
      </c>
      <c r="E74" s="427"/>
      <c r="F74" s="426">
        <f>SUM(F71:F73)</f>
        <v>0</v>
      </c>
      <c r="G74" s="427"/>
      <c r="H74" s="426">
        <f>SUM(H71:H73)</f>
        <v>3975</v>
      </c>
      <c r="I74" s="414"/>
    </row>
    <row r="75" spans="1:9" s="330" customFormat="1" ht="12.75" customHeight="1" thickTop="1" x14ac:dyDescent="0.25">
      <c r="A75" s="408"/>
      <c r="B75" s="410"/>
      <c r="C75" s="424"/>
      <c r="D75" s="428"/>
      <c r="E75" s="427"/>
      <c r="F75" s="428"/>
      <c r="G75" s="427"/>
      <c r="H75" s="428"/>
      <c r="I75" s="414"/>
    </row>
    <row r="76" spans="1:9" s="330" customFormat="1" ht="12.75" customHeight="1" x14ac:dyDescent="0.25">
      <c r="A76" s="408"/>
      <c r="B76" s="410"/>
      <c r="C76" s="424"/>
      <c r="D76" s="427"/>
      <c r="E76" s="427"/>
      <c r="F76" s="427"/>
      <c r="G76" s="427"/>
      <c r="H76" s="427"/>
      <c r="I76" s="414"/>
    </row>
    <row r="77" spans="1:9" s="330" customFormat="1" ht="12.75" customHeight="1" x14ac:dyDescent="0.25">
      <c r="A77" s="408"/>
      <c r="B77" s="410"/>
      <c r="C77" s="424" t="s">
        <v>1036</v>
      </c>
      <c r="D77" s="427"/>
      <c r="E77" s="427"/>
      <c r="F77" s="427"/>
      <c r="G77" s="427"/>
      <c r="H77" s="427"/>
      <c r="I77" s="414"/>
    </row>
    <row r="78" spans="1:9" s="330" customFormat="1" ht="12.75" customHeight="1" x14ac:dyDescent="0.25">
      <c r="A78" s="408"/>
      <c r="B78" s="410"/>
      <c r="C78" s="425" t="s">
        <v>1034</v>
      </c>
      <c r="D78" s="429">
        <v>600</v>
      </c>
      <c r="E78" s="427"/>
      <c r="F78" s="429">
        <v>20</v>
      </c>
      <c r="G78" s="427"/>
      <c r="H78" s="429">
        <f>D78-F78</f>
        <v>580</v>
      </c>
      <c r="I78" s="414"/>
    </row>
    <row r="79" spans="1:9" s="330" customFormat="1" ht="12.75" customHeight="1" x14ac:dyDescent="0.25">
      <c r="A79" s="408"/>
      <c r="B79" s="410"/>
      <c r="C79" s="425" t="s">
        <v>1035</v>
      </c>
      <c r="D79" s="429">
        <v>150</v>
      </c>
      <c r="E79" s="427"/>
      <c r="F79" s="429"/>
      <c r="G79" s="427"/>
      <c r="H79" s="429">
        <f>D79-F79</f>
        <v>150</v>
      </c>
      <c r="I79" s="414"/>
    </row>
    <row r="80" spans="1:9" s="330" customFormat="1" ht="12.75" customHeight="1" x14ac:dyDescent="0.25">
      <c r="A80" s="408"/>
      <c r="B80" s="410"/>
      <c r="C80" s="425" t="s">
        <v>1033</v>
      </c>
      <c r="D80" s="429">
        <f>180+135+135+45+180+180+135+135</f>
        <v>1125</v>
      </c>
      <c r="E80" s="427"/>
      <c r="F80" s="429">
        <v>45</v>
      </c>
      <c r="G80" s="427"/>
      <c r="H80" s="429">
        <f>D80-F80</f>
        <v>1080</v>
      </c>
      <c r="I80" s="414"/>
    </row>
    <row r="81" spans="1:9" s="330" customFormat="1" ht="12.75" customHeight="1" x14ac:dyDescent="0.25">
      <c r="A81" s="408"/>
      <c r="B81" s="410"/>
      <c r="C81" s="425" t="s">
        <v>1032</v>
      </c>
      <c r="D81" s="429">
        <f>3375+900+1800+600+3600+3600+2700+2700</f>
        <v>19275</v>
      </c>
      <c r="E81" s="427"/>
      <c r="F81" s="429"/>
      <c r="G81" s="427"/>
      <c r="H81" s="429">
        <f>D81-F81</f>
        <v>19275</v>
      </c>
      <c r="I81" s="414"/>
    </row>
    <row r="82" spans="1:9" s="330" customFormat="1" ht="12.75" customHeight="1" x14ac:dyDescent="0.25">
      <c r="A82" s="408"/>
      <c r="B82" s="410"/>
      <c r="C82" s="425" t="s">
        <v>1831</v>
      </c>
      <c r="D82" s="429">
        <f>4750+4275+570+285+1425+1425+1140+1140</f>
        <v>15010</v>
      </c>
      <c r="E82" s="427"/>
      <c r="F82" s="429">
        <v>2778.75</v>
      </c>
      <c r="G82" s="427"/>
      <c r="H82" s="429">
        <f>D82-F82</f>
        <v>12231.25</v>
      </c>
      <c r="I82" s="414"/>
    </row>
    <row r="83" spans="1:9" s="330" customFormat="1" ht="12.75" customHeight="1" thickBot="1" x14ac:dyDescent="0.3">
      <c r="A83" s="408"/>
      <c r="B83" s="410"/>
      <c r="C83" s="424" t="s">
        <v>798</v>
      </c>
      <c r="D83" s="426">
        <f>SUM(D78:D82)</f>
        <v>36160</v>
      </c>
      <c r="E83" s="427"/>
      <c r="F83" s="426">
        <f>SUM(F78:F82)</f>
        <v>2843.75</v>
      </c>
      <c r="G83" s="427"/>
      <c r="H83" s="426">
        <f>SUM(H32+H38+H44+H50+H56+H62+H68+H74)</f>
        <v>31476.25</v>
      </c>
      <c r="I83" s="414"/>
    </row>
    <row r="84" spans="1:9" s="330" customFormat="1" ht="12.75" customHeight="1" thickTop="1" x14ac:dyDescent="0.25"/>
    <row r="85" spans="1:9" s="330" customFormat="1" ht="12.75" customHeight="1" x14ac:dyDescent="0.25"/>
    <row r="86" spans="1:9" s="330" customFormat="1" ht="12.75" customHeight="1" x14ac:dyDescent="0.25"/>
    <row r="87" spans="1:9" s="330" customFormat="1" ht="12.75" customHeight="1" x14ac:dyDescent="0.25"/>
    <row r="88" spans="1:9" s="330" customFormat="1" ht="12.75" customHeight="1" x14ac:dyDescent="0.25"/>
    <row r="89" spans="1:9" s="330" customFormat="1" ht="12.75" customHeight="1" x14ac:dyDescent="0.25"/>
    <row r="90" spans="1:9"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6">
    <pageSetUpPr fitToPage="1"/>
  </sheetPr>
  <dimension ref="A1:I5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423</v>
      </c>
      <c r="B4" s="126"/>
      <c r="C4" s="127"/>
      <c r="D4" s="128" t="s">
        <v>172</v>
      </c>
      <c r="E4" s="124"/>
      <c r="F4" s="124"/>
      <c r="G4" s="124"/>
      <c r="H4" s="125"/>
      <c r="I4" s="125"/>
    </row>
    <row r="5" spans="1:9" ht="15.75" x14ac:dyDescent="0.25">
      <c r="A5" s="129" t="s">
        <v>143</v>
      </c>
      <c r="B5" s="130"/>
      <c r="C5" s="131"/>
      <c r="D5" s="132" t="s">
        <v>173</v>
      </c>
      <c r="E5" s="133"/>
      <c r="F5" s="134"/>
      <c r="G5" s="134"/>
      <c r="H5" s="130"/>
      <c r="I5" s="125"/>
    </row>
    <row r="6" spans="1:9" ht="15.75" x14ac:dyDescent="0.25">
      <c r="A6" s="86" t="str">
        <f>'RECAP #9279.40'!B6</f>
        <v>Project Manager - Jennifer K.</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424</v>
      </c>
      <c r="B9" s="409">
        <v>45667</v>
      </c>
      <c r="C9" s="410" t="s">
        <v>107</v>
      </c>
      <c r="D9" s="411">
        <v>108800</v>
      </c>
      <c r="E9" s="412">
        <f>D9</f>
        <v>108800</v>
      </c>
      <c r="F9" s="413"/>
      <c r="G9" s="413"/>
      <c r="H9" s="413">
        <f>E9</f>
        <v>108800</v>
      </c>
      <c r="I9" s="414"/>
    </row>
    <row r="10" spans="1:9" s="330" customFormat="1" ht="12.75" customHeight="1" x14ac:dyDescent="0.25">
      <c r="A10" s="408" t="s">
        <v>535</v>
      </c>
      <c r="B10" s="240">
        <v>45708</v>
      </c>
      <c r="C10" s="410" t="s">
        <v>536</v>
      </c>
      <c r="D10" s="412"/>
      <c r="E10" s="412">
        <f t="shared" ref="E10:E21" si="0">E9+D10</f>
        <v>108800</v>
      </c>
      <c r="F10" s="445">
        <v>36700</v>
      </c>
      <c r="G10" s="413">
        <f t="shared" ref="G10:G21" si="1">G9+F10</f>
        <v>36700</v>
      </c>
      <c r="H10" s="413">
        <f t="shared" ref="H10:H21" si="2">H9-F10+D10</f>
        <v>72100</v>
      </c>
      <c r="I10" s="414"/>
    </row>
    <row r="11" spans="1:9" s="330" customFormat="1" ht="12.75" customHeight="1" x14ac:dyDescent="0.25">
      <c r="A11" s="408" t="s">
        <v>640</v>
      </c>
      <c r="B11" s="409">
        <v>45754</v>
      </c>
      <c r="C11" s="410" t="s">
        <v>641</v>
      </c>
      <c r="D11" s="412"/>
      <c r="E11" s="412">
        <f t="shared" si="0"/>
        <v>108800</v>
      </c>
      <c r="F11" s="445">
        <v>54780</v>
      </c>
      <c r="G11" s="413">
        <f t="shared" si="1"/>
        <v>91480</v>
      </c>
      <c r="H11" s="413">
        <f t="shared" si="2"/>
        <v>17320</v>
      </c>
      <c r="I11" s="414"/>
    </row>
    <row r="12" spans="1:9" s="330" customFormat="1" ht="12.75" customHeight="1" x14ac:dyDescent="0.25">
      <c r="A12" s="408" t="s">
        <v>751</v>
      </c>
      <c r="B12" s="409">
        <v>45792</v>
      </c>
      <c r="C12" s="410" t="s">
        <v>752</v>
      </c>
      <c r="D12" s="411"/>
      <c r="E12" s="412">
        <f t="shared" si="0"/>
        <v>108800</v>
      </c>
      <c r="F12" s="445">
        <v>16454</v>
      </c>
      <c r="G12" s="413">
        <f t="shared" si="1"/>
        <v>107934</v>
      </c>
      <c r="H12" s="413">
        <f t="shared" si="2"/>
        <v>866</v>
      </c>
      <c r="I12" s="414"/>
    </row>
    <row r="13" spans="1:9" s="330" customFormat="1" ht="12.75" customHeight="1" x14ac:dyDescent="0.25">
      <c r="A13" s="408" t="s">
        <v>424</v>
      </c>
      <c r="B13" s="409">
        <v>45812</v>
      </c>
      <c r="C13" s="410" t="s">
        <v>301</v>
      </c>
      <c r="D13" s="411">
        <v>48982</v>
      </c>
      <c r="E13" s="412">
        <f t="shared" si="0"/>
        <v>157782</v>
      </c>
      <c r="F13" s="422"/>
      <c r="G13" s="413">
        <f t="shared" si="1"/>
        <v>107934</v>
      </c>
      <c r="H13" s="413">
        <f t="shared" si="2"/>
        <v>49848</v>
      </c>
      <c r="I13" s="414"/>
    </row>
    <row r="14" spans="1:9" s="330" customFormat="1" ht="12.75" customHeight="1" x14ac:dyDescent="0.25">
      <c r="A14" s="415" t="s">
        <v>924</v>
      </c>
      <c r="B14" s="480">
        <v>45845</v>
      </c>
      <c r="C14" s="417" t="s">
        <v>927</v>
      </c>
      <c r="D14" s="418"/>
      <c r="E14" s="418">
        <f t="shared" si="0"/>
        <v>157782</v>
      </c>
      <c r="F14" s="419">
        <v>5326</v>
      </c>
      <c r="G14" s="420">
        <f t="shared" si="1"/>
        <v>113260</v>
      </c>
      <c r="H14" s="420">
        <f t="shared" si="2"/>
        <v>44522</v>
      </c>
      <c r="I14" s="421" t="s">
        <v>1015</v>
      </c>
    </row>
    <row r="15" spans="1:9" s="330" customFormat="1" ht="12.75" customHeight="1" x14ac:dyDescent="0.25">
      <c r="A15" s="408" t="s">
        <v>1027</v>
      </c>
      <c r="B15" s="409">
        <v>45889</v>
      </c>
      <c r="C15" s="410" t="s">
        <v>1017</v>
      </c>
      <c r="D15" s="411">
        <v>0</v>
      </c>
      <c r="E15" s="412">
        <f t="shared" si="0"/>
        <v>157782</v>
      </c>
      <c r="F15" s="422"/>
      <c r="G15" s="413">
        <f t="shared" si="1"/>
        <v>113260</v>
      </c>
      <c r="H15" s="413">
        <f t="shared" si="2"/>
        <v>44522</v>
      </c>
      <c r="I15" s="414"/>
    </row>
    <row r="16" spans="1:9" s="330" customFormat="1" ht="12.75" customHeight="1" x14ac:dyDescent="0.25">
      <c r="A16" s="408" t="s">
        <v>1456</v>
      </c>
      <c r="B16" s="409">
        <v>45663</v>
      </c>
      <c r="C16" s="410" t="s">
        <v>1457</v>
      </c>
      <c r="D16" s="412"/>
      <c r="E16" s="412">
        <f t="shared" si="0"/>
        <v>157782</v>
      </c>
      <c r="F16" s="445">
        <v>11130.5</v>
      </c>
      <c r="G16" s="413">
        <f t="shared" si="1"/>
        <v>124390.5</v>
      </c>
      <c r="H16" s="413">
        <f t="shared" si="2"/>
        <v>33391.5</v>
      </c>
      <c r="I16" s="414"/>
    </row>
    <row r="17" spans="1:9" s="330" customFormat="1" ht="12.75" customHeight="1" x14ac:dyDescent="0.25">
      <c r="A17" s="408" t="s">
        <v>1757</v>
      </c>
      <c r="B17" s="409">
        <v>46121</v>
      </c>
      <c r="C17" s="410" t="s">
        <v>1758</v>
      </c>
      <c r="D17" s="412"/>
      <c r="E17" s="412">
        <f t="shared" si="0"/>
        <v>157782</v>
      </c>
      <c r="F17" s="445">
        <v>23151.439999999999</v>
      </c>
      <c r="G17" s="413">
        <f t="shared" si="1"/>
        <v>147541.94</v>
      </c>
      <c r="H17" s="413">
        <f t="shared" si="2"/>
        <v>10240.060000000001</v>
      </c>
      <c r="I17" s="414"/>
    </row>
    <row r="18" spans="1:9" s="330" customFormat="1" ht="12.75" customHeight="1" x14ac:dyDescent="0.25">
      <c r="A18" s="408"/>
      <c r="B18" s="409"/>
      <c r="C18" s="410"/>
      <c r="D18" s="412"/>
      <c r="E18" s="412">
        <f t="shared" si="0"/>
        <v>157782</v>
      </c>
      <c r="F18" s="422"/>
      <c r="G18" s="413">
        <f t="shared" si="1"/>
        <v>147541.94</v>
      </c>
      <c r="H18" s="413">
        <f t="shared" si="2"/>
        <v>10240.060000000001</v>
      </c>
      <c r="I18" s="414"/>
    </row>
    <row r="19" spans="1:9" s="330" customFormat="1" ht="12.75" customHeight="1" x14ac:dyDescent="0.25">
      <c r="A19" s="408"/>
      <c r="B19" s="409"/>
      <c r="C19" s="410"/>
      <c r="D19" s="412"/>
      <c r="E19" s="412">
        <f t="shared" si="0"/>
        <v>157782</v>
      </c>
      <c r="F19" s="413"/>
      <c r="G19" s="413">
        <f t="shared" si="1"/>
        <v>147541.94</v>
      </c>
      <c r="H19" s="413">
        <f t="shared" si="2"/>
        <v>10240.060000000001</v>
      </c>
      <c r="I19" s="414"/>
    </row>
    <row r="20" spans="1:9" s="330" customFormat="1" ht="12.75" customHeight="1" x14ac:dyDescent="0.25">
      <c r="A20" s="408"/>
      <c r="B20" s="409"/>
      <c r="C20" s="410"/>
      <c r="D20" s="412"/>
      <c r="E20" s="412">
        <f t="shared" si="0"/>
        <v>157782</v>
      </c>
      <c r="F20" s="413"/>
      <c r="G20" s="413">
        <f t="shared" si="1"/>
        <v>147541.94</v>
      </c>
      <c r="H20" s="413">
        <f t="shared" si="2"/>
        <v>10240.060000000001</v>
      </c>
      <c r="I20" s="414"/>
    </row>
    <row r="21" spans="1:9" s="330" customFormat="1" ht="12.75" customHeight="1" x14ac:dyDescent="0.25">
      <c r="A21" s="408"/>
      <c r="B21" s="409"/>
      <c r="C21" s="423"/>
      <c r="D21" s="412"/>
      <c r="E21" s="412">
        <f t="shared" si="0"/>
        <v>157782</v>
      </c>
      <c r="F21" s="413"/>
      <c r="G21" s="413">
        <f t="shared" si="1"/>
        <v>147541.94</v>
      </c>
      <c r="H21" s="413">
        <f t="shared" si="2"/>
        <v>10240.060000000001</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157782</v>
      </c>
      <c r="E23" s="426"/>
      <c r="F23" s="426">
        <f>SUM(F9:F22)</f>
        <v>147541.94</v>
      </c>
      <c r="G23" s="426"/>
      <c r="H23" s="426">
        <f>D23-F23</f>
        <v>10240.059999999998</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176</v>
      </c>
      <c r="D26" s="413">
        <v>36700</v>
      </c>
      <c r="E26" s="413"/>
      <c r="F26" s="413">
        <f>36700</f>
        <v>36700</v>
      </c>
      <c r="G26" s="413"/>
      <c r="H26" s="413">
        <f>D26-F26</f>
        <v>0</v>
      </c>
      <c r="I26" s="414"/>
    </row>
    <row r="27" spans="1:9" s="330" customFormat="1" ht="12.75" customHeight="1" x14ac:dyDescent="0.25">
      <c r="A27" s="408"/>
      <c r="B27" s="410"/>
      <c r="C27" s="425" t="s">
        <v>255</v>
      </c>
      <c r="D27" s="413">
        <v>28800</v>
      </c>
      <c r="E27" s="413"/>
      <c r="F27" s="413">
        <f>28800</f>
        <v>28800</v>
      </c>
      <c r="G27" s="413"/>
      <c r="H27" s="413">
        <f>D27-F27</f>
        <v>0</v>
      </c>
      <c r="I27" s="414"/>
    </row>
    <row r="28" spans="1:9" s="330" customFormat="1" ht="12.75" customHeight="1" x14ac:dyDescent="0.25">
      <c r="A28" s="408"/>
      <c r="B28" s="410"/>
      <c r="C28" s="425" t="s">
        <v>175</v>
      </c>
      <c r="D28" s="413">
        <v>43300</v>
      </c>
      <c r="E28" s="413"/>
      <c r="F28" s="413">
        <f>25980+16454+866</f>
        <v>43300</v>
      </c>
      <c r="G28" s="413"/>
      <c r="H28" s="413">
        <f>D28-F28</f>
        <v>0</v>
      </c>
      <c r="I28" s="414"/>
    </row>
    <row r="29" spans="1:9" s="330" customFormat="1" ht="12.75" customHeight="1" x14ac:dyDescent="0.25">
      <c r="A29" s="408"/>
      <c r="B29" s="410"/>
      <c r="C29" s="425" t="s">
        <v>301</v>
      </c>
      <c r="D29" s="413">
        <v>48982</v>
      </c>
      <c r="E29" s="413"/>
      <c r="F29" s="413">
        <f>4460+11130.5+23151.44</f>
        <v>38741.94</v>
      </c>
      <c r="G29" s="413"/>
      <c r="H29" s="413">
        <f>D29-F29</f>
        <v>10240.059999999998</v>
      </c>
      <c r="I29" s="414"/>
    </row>
    <row r="30" spans="1:9" s="330" customFormat="1" ht="12.75" customHeight="1" thickBot="1" x14ac:dyDescent="0.3">
      <c r="A30" s="408"/>
      <c r="B30" s="410"/>
      <c r="C30" s="427" t="s">
        <v>555</v>
      </c>
      <c r="D30" s="426">
        <f>SUM(D26:D29)</f>
        <v>157782</v>
      </c>
      <c r="E30" s="427"/>
      <c r="F30" s="426">
        <f>SUM(F26:F29)</f>
        <v>147541.94</v>
      </c>
      <c r="G30" s="427"/>
      <c r="H30" s="426">
        <f>SUM(H26:H29)</f>
        <v>10240.059999999998</v>
      </c>
      <c r="I30" s="414"/>
    </row>
    <row r="31" spans="1:9" s="330" customFormat="1" ht="12.75" customHeight="1" thickTop="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pageSetUpPr fitToPage="1"/>
  </sheetPr>
  <dimension ref="A1:I152"/>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8"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762</v>
      </c>
      <c r="B4" s="126"/>
      <c r="C4" s="127"/>
      <c r="D4" s="128" t="s">
        <v>172</v>
      </c>
      <c r="E4" s="124"/>
      <c r="F4" s="124"/>
      <c r="G4" s="124"/>
      <c r="H4" s="125"/>
      <c r="I4" s="125"/>
    </row>
    <row r="5" spans="1:9" ht="15.75" x14ac:dyDescent="0.25">
      <c r="A5" s="129" t="s">
        <v>143</v>
      </c>
      <c r="B5" s="130"/>
      <c r="C5" s="131"/>
      <c r="D5" s="132" t="s">
        <v>173</v>
      </c>
      <c r="E5" s="133"/>
      <c r="F5" s="134"/>
      <c r="G5" s="134"/>
      <c r="H5" s="130"/>
      <c r="I5" s="125"/>
    </row>
    <row r="6" spans="1:9" ht="15.75" x14ac:dyDescent="0.25">
      <c r="A6" s="86" t="str">
        <f>'RECAP #9279.40'!B6</f>
        <v>Project Manager - Jennifer K.</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763</v>
      </c>
      <c r="B9" s="409">
        <v>45798</v>
      </c>
      <c r="C9" s="410" t="s">
        <v>107</v>
      </c>
      <c r="D9" s="411">
        <v>120612</v>
      </c>
      <c r="E9" s="412">
        <f>D9</f>
        <v>120612</v>
      </c>
      <c r="F9" s="413"/>
      <c r="G9" s="413"/>
      <c r="H9" s="413">
        <f>E9</f>
        <v>120612</v>
      </c>
      <c r="I9" s="414"/>
    </row>
    <row r="10" spans="1:9" s="330" customFormat="1" ht="12.75" customHeight="1" x14ac:dyDescent="0.25">
      <c r="A10" s="415" t="s">
        <v>925</v>
      </c>
      <c r="B10" s="416">
        <v>45845</v>
      </c>
      <c r="C10" s="417" t="s">
        <v>926</v>
      </c>
      <c r="D10" s="418"/>
      <c r="E10" s="418">
        <f t="shared" ref="E10:E21" si="0">E9+D10</f>
        <v>120612</v>
      </c>
      <c r="F10" s="419">
        <v>8150</v>
      </c>
      <c r="G10" s="420">
        <f t="shared" ref="G10:G21" si="1">G9+F10</f>
        <v>8150</v>
      </c>
      <c r="H10" s="420">
        <f t="shared" ref="H10:H21" si="2">H9-F10+D10</f>
        <v>112462</v>
      </c>
      <c r="I10" s="421" t="s">
        <v>1015</v>
      </c>
    </row>
    <row r="11" spans="1:9" s="330" customFormat="1" ht="12.75" customHeight="1" x14ac:dyDescent="0.25">
      <c r="A11" s="408" t="s">
        <v>1026</v>
      </c>
      <c r="B11" s="409">
        <v>45889</v>
      </c>
      <c r="C11" s="410" t="s">
        <v>1017</v>
      </c>
      <c r="D11" s="411">
        <v>0</v>
      </c>
      <c r="E11" s="412">
        <f t="shared" si="0"/>
        <v>120612</v>
      </c>
      <c r="F11" s="445"/>
      <c r="G11" s="413">
        <f t="shared" si="1"/>
        <v>8150</v>
      </c>
      <c r="H11" s="413">
        <f t="shared" si="2"/>
        <v>112462</v>
      </c>
      <c r="I11" s="414"/>
    </row>
    <row r="12" spans="1:9" s="330" customFormat="1" ht="12.75" customHeight="1" x14ac:dyDescent="0.25">
      <c r="A12" s="408" t="s">
        <v>1440</v>
      </c>
      <c r="B12" s="409">
        <v>46014</v>
      </c>
      <c r="C12" s="410" t="s">
        <v>1439</v>
      </c>
      <c r="D12" s="412"/>
      <c r="E12" s="412">
        <f t="shared" si="0"/>
        <v>120612</v>
      </c>
      <c r="F12" s="445">
        <v>49088.1</v>
      </c>
      <c r="G12" s="413">
        <f t="shared" si="1"/>
        <v>57238.1</v>
      </c>
      <c r="H12" s="413">
        <f t="shared" si="2"/>
        <v>63373.9</v>
      </c>
      <c r="I12" s="414"/>
    </row>
    <row r="13" spans="1:9" s="330" customFormat="1" ht="12.75" customHeight="1" x14ac:dyDescent="0.25">
      <c r="A13" s="408" t="s">
        <v>1761</v>
      </c>
      <c r="B13" s="409">
        <v>46121</v>
      </c>
      <c r="C13" s="410" t="s">
        <v>1762</v>
      </c>
      <c r="D13" s="497"/>
      <c r="E13" s="412">
        <f t="shared" si="0"/>
        <v>120612</v>
      </c>
      <c r="F13" s="445">
        <v>17970.8</v>
      </c>
      <c r="G13" s="413">
        <f t="shared" si="1"/>
        <v>75208.899999999994</v>
      </c>
      <c r="H13" s="413">
        <f t="shared" si="2"/>
        <v>45403.100000000006</v>
      </c>
      <c r="I13" s="414"/>
    </row>
    <row r="14" spans="1:9" s="330" customFormat="1" ht="12.75" customHeight="1" x14ac:dyDescent="0.25">
      <c r="A14" s="408"/>
      <c r="B14" s="409"/>
      <c r="C14" s="410"/>
      <c r="D14" s="412"/>
      <c r="E14" s="412">
        <f t="shared" si="0"/>
        <v>120612</v>
      </c>
      <c r="F14" s="413"/>
      <c r="G14" s="413">
        <f t="shared" si="1"/>
        <v>75208.899999999994</v>
      </c>
      <c r="H14" s="413">
        <f t="shared" si="2"/>
        <v>45403.100000000006</v>
      </c>
      <c r="I14" s="414"/>
    </row>
    <row r="15" spans="1:9" s="330" customFormat="1" ht="12.75" customHeight="1" x14ac:dyDescent="0.25">
      <c r="A15" s="408"/>
      <c r="B15" s="409"/>
      <c r="C15" s="410"/>
      <c r="D15" s="412"/>
      <c r="E15" s="412">
        <f t="shared" si="0"/>
        <v>120612</v>
      </c>
      <c r="F15" s="422"/>
      <c r="G15" s="413">
        <f t="shared" si="1"/>
        <v>75208.899999999994</v>
      </c>
      <c r="H15" s="413">
        <f t="shared" si="2"/>
        <v>45403.100000000006</v>
      </c>
      <c r="I15" s="414"/>
    </row>
    <row r="16" spans="1:9" s="330" customFormat="1" ht="12.75" customHeight="1" x14ac:dyDescent="0.25">
      <c r="A16" s="408"/>
      <c r="B16" s="409"/>
      <c r="C16" s="410"/>
      <c r="D16" s="412"/>
      <c r="E16" s="412">
        <f t="shared" si="0"/>
        <v>120612</v>
      </c>
      <c r="F16" s="422"/>
      <c r="G16" s="413">
        <f t="shared" si="1"/>
        <v>75208.899999999994</v>
      </c>
      <c r="H16" s="413">
        <f t="shared" si="2"/>
        <v>45403.100000000006</v>
      </c>
      <c r="I16" s="414"/>
    </row>
    <row r="17" spans="1:9" s="330" customFormat="1" ht="12.75" customHeight="1" x14ac:dyDescent="0.25">
      <c r="A17" s="408"/>
      <c r="B17" s="409"/>
      <c r="C17" s="410"/>
      <c r="D17" s="412"/>
      <c r="E17" s="412">
        <f t="shared" si="0"/>
        <v>120612</v>
      </c>
      <c r="F17" s="422"/>
      <c r="G17" s="413">
        <f t="shared" si="1"/>
        <v>75208.899999999994</v>
      </c>
      <c r="H17" s="413">
        <f t="shared" si="2"/>
        <v>45403.100000000006</v>
      </c>
      <c r="I17" s="414"/>
    </row>
    <row r="18" spans="1:9" s="330" customFormat="1" ht="12.75" customHeight="1" x14ac:dyDescent="0.25">
      <c r="A18" s="408"/>
      <c r="B18" s="409"/>
      <c r="C18" s="410"/>
      <c r="D18" s="412"/>
      <c r="E18" s="412">
        <f t="shared" si="0"/>
        <v>120612</v>
      </c>
      <c r="F18" s="422"/>
      <c r="G18" s="413">
        <f t="shared" si="1"/>
        <v>75208.899999999994</v>
      </c>
      <c r="H18" s="413">
        <f t="shared" si="2"/>
        <v>45403.100000000006</v>
      </c>
      <c r="I18" s="414"/>
    </row>
    <row r="19" spans="1:9" s="330" customFormat="1" ht="12.75" customHeight="1" x14ac:dyDescent="0.25">
      <c r="A19" s="408"/>
      <c r="B19" s="409"/>
      <c r="C19" s="410"/>
      <c r="D19" s="412"/>
      <c r="E19" s="412">
        <f t="shared" si="0"/>
        <v>120612</v>
      </c>
      <c r="F19" s="413"/>
      <c r="G19" s="413">
        <f t="shared" si="1"/>
        <v>75208.899999999994</v>
      </c>
      <c r="H19" s="413">
        <f t="shared" si="2"/>
        <v>45403.100000000006</v>
      </c>
      <c r="I19" s="414"/>
    </row>
    <row r="20" spans="1:9" s="330" customFormat="1" ht="12.75" customHeight="1" x14ac:dyDescent="0.25">
      <c r="A20" s="408"/>
      <c r="B20" s="409"/>
      <c r="C20" s="410"/>
      <c r="D20" s="412"/>
      <c r="E20" s="412">
        <f t="shared" si="0"/>
        <v>120612</v>
      </c>
      <c r="F20" s="413"/>
      <c r="G20" s="413">
        <f t="shared" si="1"/>
        <v>75208.899999999994</v>
      </c>
      <c r="H20" s="413">
        <f t="shared" si="2"/>
        <v>45403.100000000006</v>
      </c>
      <c r="I20" s="414"/>
    </row>
    <row r="21" spans="1:9" s="330" customFormat="1" ht="12.75" customHeight="1" x14ac:dyDescent="0.25">
      <c r="A21" s="408"/>
      <c r="B21" s="409"/>
      <c r="C21" s="423"/>
      <c r="D21" s="412"/>
      <c r="E21" s="412">
        <f t="shared" si="0"/>
        <v>120612</v>
      </c>
      <c r="F21" s="413"/>
      <c r="G21" s="413">
        <f t="shared" si="1"/>
        <v>75208.899999999994</v>
      </c>
      <c r="H21" s="413">
        <f t="shared" si="2"/>
        <v>45403.100000000006</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120612</v>
      </c>
      <c r="E23" s="426"/>
      <c r="F23" s="426">
        <f>SUM(F9:F22)</f>
        <v>75208.899999999994</v>
      </c>
      <c r="G23" s="426"/>
      <c r="H23" s="426">
        <f>D23-F23</f>
        <v>45403.100000000006</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764</v>
      </c>
      <c r="D26" s="413">
        <v>8150</v>
      </c>
      <c r="E26" s="413"/>
      <c r="F26" s="413">
        <f>8150</f>
        <v>8150</v>
      </c>
      <c r="G26" s="413"/>
      <c r="H26" s="413">
        <f t="shared" ref="H26:H31" si="3">D26-F26</f>
        <v>0</v>
      </c>
      <c r="I26" s="414"/>
    </row>
    <row r="27" spans="1:9" s="330" customFormat="1" ht="12.75" customHeight="1" x14ac:dyDescent="0.25">
      <c r="A27" s="408"/>
      <c r="B27" s="410"/>
      <c r="C27" s="425" t="s">
        <v>765</v>
      </c>
      <c r="D27" s="413">
        <v>35982</v>
      </c>
      <c r="E27" s="413"/>
      <c r="F27" s="413">
        <f>19790.1+7196.4</f>
        <v>26986.5</v>
      </c>
      <c r="G27" s="413"/>
      <c r="H27" s="413">
        <f t="shared" si="3"/>
        <v>8995.5</v>
      </c>
      <c r="I27" s="414"/>
    </row>
    <row r="28" spans="1:9" s="330" customFormat="1" ht="12.75" customHeight="1" x14ac:dyDescent="0.25">
      <c r="A28" s="408"/>
      <c r="B28" s="410"/>
      <c r="C28" s="425" t="s">
        <v>766</v>
      </c>
      <c r="D28" s="413">
        <v>28120</v>
      </c>
      <c r="E28" s="413"/>
      <c r="F28" s="413">
        <f>8998.4+5061.6</f>
        <v>14060</v>
      </c>
      <c r="G28" s="413"/>
      <c r="H28" s="413">
        <f t="shared" si="3"/>
        <v>14060</v>
      </c>
      <c r="I28" s="414"/>
    </row>
    <row r="29" spans="1:9" s="330" customFormat="1" ht="12.75" customHeight="1" x14ac:dyDescent="0.25">
      <c r="A29" s="408"/>
      <c r="B29" s="410"/>
      <c r="C29" s="425" t="s">
        <v>767</v>
      </c>
      <c r="D29" s="413">
        <v>28120</v>
      </c>
      <c r="E29" s="413"/>
      <c r="F29" s="413">
        <f>10685.6+1968.4</f>
        <v>12654</v>
      </c>
      <c r="G29" s="413"/>
      <c r="H29" s="413">
        <f t="shared" si="3"/>
        <v>15466</v>
      </c>
      <c r="I29" s="414"/>
    </row>
    <row r="30" spans="1:9" s="330" customFormat="1" ht="12.75" customHeight="1" x14ac:dyDescent="0.25">
      <c r="A30" s="408"/>
      <c r="B30" s="410"/>
      <c r="C30" s="425" t="s">
        <v>768</v>
      </c>
      <c r="D30" s="413">
        <v>10120</v>
      </c>
      <c r="E30" s="413"/>
      <c r="F30" s="413">
        <v>5060</v>
      </c>
      <c r="G30" s="413"/>
      <c r="H30" s="413">
        <f t="shared" si="3"/>
        <v>5060</v>
      </c>
      <c r="I30" s="414"/>
    </row>
    <row r="31" spans="1:9" s="330" customFormat="1" ht="12.75" customHeight="1" x14ac:dyDescent="0.25">
      <c r="A31" s="408"/>
      <c r="B31" s="410"/>
      <c r="C31" s="425" t="s">
        <v>769</v>
      </c>
      <c r="D31" s="413">
        <v>10120</v>
      </c>
      <c r="E31" s="413"/>
      <c r="F31" s="413">
        <f>4554+3744.4</f>
        <v>8298.4</v>
      </c>
      <c r="G31" s="413"/>
      <c r="H31" s="413">
        <f t="shared" si="3"/>
        <v>1821.6000000000004</v>
      </c>
      <c r="I31" s="414"/>
    </row>
    <row r="32" spans="1:9" s="330" customFormat="1" ht="12.75" customHeight="1" thickBot="1" x14ac:dyDescent="0.3">
      <c r="A32" s="408"/>
      <c r="B32" s="410"/>
      <c r="C32" s="427" t="s">
        <v>555</v>
      </c>
      <c r="D32" s="426">
        <f>SUM(D26:D31)</f>
        <v>120612</v>
      </c>
      <c r="E32" s="427"/>
      <c r="F32" s="426">
        <f>SUM(F26:F31)</f>
        <v>75208.899999999994</v>
      </c>
      <c r="G32" s="427"/>
      <c r="H32" s="426">
        <f>SUM(H26:H31)</f>
        <v>45403.1</v>
      </c>
      <c r="I32" s="41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8">
    <tabColor rgb="FF0070C0"/>
    <pageSetUpPr fitToPage="1"/>
  </sheetPr>
  <dimension ref="A1:I4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789</v>
      </c>
      <c r="B4" s="126"/>
      <c r="C4" s="181"/>
      <c r="D4" s="185" t="s">
        <v>200</v>
      </c>
      <c r="E4" s="180"/>
      <c r="F4" s="180"/>
      <c r="G4" s="180"/>
      <c r="H4" s="181"/>
      <c r="I4" s="181"/>
    </row>
    <row r="5" spans="1:9" ht="15.75" x14ac:dyDescent="0.25">
      <c r="A5" s="186" t="s">
        <v>109</v>
      </c>
      <c r="B5" s="181"/>
      <c r="C5" s="187"/>
      <c r="D5" s="132" t="s">
        <v>790</v>
      </c>
      <c r="E5" s="137"/>
      <c r="F5" s="180"/>
      <c r="G5" s="180"/>
      <c r="H5" s="181"/>
      <c r="I5" s="181"/>
    </row>
    <row r="6" spans="1:9" ht="15.75" x14ac:dyDescent="0.25">
      <c r="A6" s="126" t="str">
        <f>'RECAP #9279.40'!B6</f>
        <v>Project Manager - Jennifer K.</v>
      </c>
      <c r="B6" s="126"/>
      <c r="C6" s="188"/>
      <c r="D6" s="189" t="s">
        <v>202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791</v>
      </c>
      <c r="B9" s="500">
        <v>45805</v>
      </c>
      <c r="C9" s="501" t="s">
        <v>107</v>
      </c>
      <c r="D9" s="404">
        <v>13110</v>
      </c>
      <c r="E9" s="502">
        <f>D9</f>
        <v>13110</v>
      </c>
      <c r="F9" s="503"/>
      <c r="G9" s="503"/>
      <c r="H9" s="503">
        <f>E9</f>
        <v>13110</v>
      </c>
      <c r="I9" s="504"/>
    </row>
    <row r="10" spans="1:9" s="330" customFormat="1" ht="12.75" customHeight="1" x14ac:dyDescent="0.25">
      <c r="A10" s="499" t="s">
        <v>957</v>
      </c>
      <c r="B10" s="365">
        <v>45853</v>
      </c>
      <c r="C10" s="501" t="s">
        <v>958</v>
      </c>
      <c r="D10" s="502"/>
      <c r="E10" s="502">
        <f t="shared" ref="E10:E21" si="0">E9+D10</f>
        <v>13110</v>
      </c>
      <c r="F10" s="406">
        <v>7434</v>
      </c>
      <c r="G10" s="503">
        <f t="shared" ref="G10:G21" si="1">G9+F10</f>
        <v>7434</v>
      </c>
      <c r="H10" s="503">
        <f t="shared" ref="H10:H21" si="2">H9-F10+D10</f>
        <v>5676</v>
      </c>
      <c r="I10" s="504"/>
    </row>
    <row r="11" spans="1:9" s="330" customFormat="1" ht="12.75" customHeight="1" x14ac:dyDescent="0.25">
      <c r="A11" s="499" t="s">
        <v>791</v>
      </c>
      <c r="B11" s="500">
        <v>45855</v>
      </c>
      <c r="C11" s="501" t="s">
        <v>970</v>
      </c>
      <c r="D11" s="512">
        <v>-5676</v>
      </c>
      <c r="E11" s="502">
        <f t="shared" si="0"/>
        <v>7434</v>
      </c>
      <c r="F11" s="406"/>
      <c r="G11" s="503">
        <f t="shared" si="1"/>
        <v>7434</v>
      </c>
      <c r="H11" s="503">
        <f t="shared" si="2"/>
        <v>0</v>
      </c>
      <c r="I11" s="504"/>
    </row>
    <row r="12" spans="1:9" s="330" customFormat="1" ht="12.75" customHeight="1" x14ac:dyDescent="0.25">
      <c r="A12" s="499"/>
      <c r="B12" s="500"/>
      <c r="C12" s="501"/>
      <c r="D12" s="502"/>
      <c r="E12" s="502">
        <f t="shared" si="0"/>
        <v>7434</v>
      </c>
      <c r="F12" s="406"/>
      <c r="G12" s="503">
        <f t="shared" si="1"/>
        <v>7434</v>
      </c>
      <c r="H12" s="503">
        <f t="shared" si="2"/>
        <v>0</v>
      </c>
      <c r="I12" s="504"/>
    </row>
    <row r="13" spans="1:9" s="330" customFormat="1" ht="12.75" customHeight="1" x14ac:dyDescent="0.25">
      <c r="A13" s="499"/>
      <c r="B13" s="500"/>
      <c r="C13" s="501"/>
      <c r="D13" s="502"/>
      <c r="E13" s="502">
        <f t="shared" si="0"/>
        <v>7434</v>
      </c>
      <c r="F13" s="406"/>
      <c r="G13" s="503">
        <f t="shared" si="1"/>
        <v>7434</v>
      </c>
      <c r="H13" s="503">
        <f t="shared" si="2"/>
        <v>0</v>
      </c>
      <c r="I13" s="504"/>
    </row>
    <row r="14" spans="1:9" s="330" customFormat="1" ht="12.75" customHeight="1" x14ac:dyDescent="0.25">
      <c r="A14" s="499"/>
      <c r="B14" s="500"/>
      <c r="C14" s="501"/>
      <c r="D14" s="502"/>
      <c r="E14" s="502">
        <f t="shared" si="0"/>
        <v>7434</v>
      </c>
      <c r="F14" s="503"/>
      <c r="G14" s="503">
        <f t="shared" si="1"/>
        <v>7434</v>
      </c>
      <c r="H14" s="503">
        <f t="shared" si="2"/>
        <v>0</v>
      </c>
      <c r="I14" s="504"/>
    </row>
    <row r="15" spans="1:9" s="330" customFormat="1" ht="12.75" customHeight="1" x14ac:dyDescent="0.25">
      <c r="A15" s="499"/>
      <c r="B15" s="500"/>
      <c r="C15" s="501"/>
      <c r="D15" s="502"/>
      <c r="E15" s="502">
        <f t="shared" si="0"/>
        <v>7434</v>
      </c>
      <c r="F15" s="406"/>
      <c r="G15" s="503">
        <f t="shared" si="1"/>
        <v>7434</v>
      </c>
      <c r="H15" s="503">
        <f t="shared" si="2"/>
        <v>0</v>
      </c>
      <c r="I15" s="504"/>
    </row>
    <row r="16" spans="1:9" s="330" customFormat="1" ht="12.75" customHeight="1" x14ac:dyDescent="0.25">
      <c r="A16" s="499"/>
      <c r="B16" s="500"/>
      <c r="C16" s="501"/>
      <c r="D16" s="502"/>
      <c r="E16" s="502">
        <f t="shared" si="0"/>
        <v>7434</v>
      </c>
      <c r="F16" s="406"/>
      <c r="G16" s="503">
        <f t="shared" si="1"/>
        <v>7434</v>
      </c>
      <c r="H16" s="503">
        <f t="shared" si="2"/>
        <v>0</v>
      </c>
      <c r="I16" s="504"/>
    </row>
    <row r="17" spans="1:9" s="330" customFormat="1" ht="12.75" customHeight="1" x14ac:dyDescent="0.25">
      <c r="A17" s="499"/>
      <c r="B17" s="500"/>
      <c r="C17" s="501"/>
      <c r="D17" s="502"/>
      <c r="E17" s="502">
        <f t="shared" si="0"/>
        <v>7434</v>
      </c>
      <c r="F17" s="406"/>
      <c r="G17" s="503">
        <f t="shared" si="1"/>
        <v>7434</v>
      </c>
      <c r="H17" s="503">
        <f t="shared" si="2"/>
        <v>0</v>
      </c>
      <c r="I17" s="504"/>
    </row>
    <row r="18" spans="1:9" s="330" customFormat="1" ht="12.75" customHeight="1" x14ac:dyDescent="0.25">
      <c r="A18" s="499"/>
      <c r="B18" s="500"/>
      <c r="C18" s="501"/>
      <c r="D18" s="502"/>
      <c r="E18" s="502">
        <f t="shared" si="0"/>
        <v>7434</v>
      </c>
      <c r="F18" s="406"/>
      <c r="G18" s="503">
        <f t="shared" si="1"/>
        <v>7434</v>
      </c>
      <c r="H18" s="503">
        <f t="shared" si="2"/>
        <v>0</v>
      </c>
      <c r="I18" s="504"/>
    </row>
    <row r="19" spans="1:9" s="330" customFormat="1" ht="12.75" customHeight="1" x14ac:dyDescent="0.25">
      <c r="A19" s="499"/>
      <c r="B19" s="500"/>
      <c r="C19" s="501"/>
      <c r="D19" s="502"/>
      <c r="E19" s="502">
        <f t="shared" si="0"/>
        <v>7434</v>
      </c>
      <c r="F19" s="503"/>
      <c r="G19" s="503">
        <f t="shared" si="1"/>
        <v>7434</v>
      </c>
      <c r="H19" s="503">
        <f t="shared" si="2"/>
        <v>0</v>
      </c>
      <c r="I19" s="504"/>
    </row>
    <row r="20" spans="1:9" s="330" customFormat="1" ht="12.75" customHeight="1" x14ac:dyDescent="0.25">
      <c r="A20" s="499"/>
      <c r="B20" s="500"/>
      <c r="C20" s="501"/>
      <c r="D20" s="502"/>
      <c r="E20" s="502">
        <f t="shared" si="0"/>
        <v>7434</v>
      </c>
      <c r="F20" s="503"/>
      <c r="G20" s="503">
        <f t="shared" si="1"/>
        <v>7434</v>
      </c>
      <c r="H20" s="503">
        <f t="shared" si="2"/>
        <v>0</v>
      </c>
      <c r="I20" s="504"/>
    </row>
    <row r="21" spans="1:9" s="330" customFormat="1" ht="12.75" customHeight="1" x14ac:dyDescent="0.25">
      <c r="A21" s="499"/>
      <c r="B21" s="500"/>
      <c r="C21" s="514"/>
      <c r="D21" s="502"/>
      <c r="E21" s="502">
        <f t="shared" si="0"/>
        <v>7434</v>
      </c>
      <c r="F21" s="503"/>
      <c r="G21" s="503">
        <f t="shared" si="1"/>
        <v>7434</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7434</v>
      </c>
      <c r="E23" s="405"/>
      <c r="F23" s="405">
        <f>SUM(F9:F22)</f>
        <v>7434</v>
      </c>
      <c r="G23" s="405"/>
      <c r="H23" s="405">
        <f>D23-F23</f>
        <v>0</v>
      </c>
      <c r="I23" s="504"/>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1821</v>
      </c>
      <c r="D26" s="503">
        <f>2400-1272</f>
        <v>1128</v>
      </c>
      <c r="E26" s="503"/>
      <c r="F26" s="503">
        <f>1128</f>
        <v>1128</v>
      </c>
      <c r="G26" s="503"/>
      <c r="H26" s="503">
        <f t="shared" ref="H26:H31" si="3">D26-F26</f>
        <v>0</v>
      </c>
      <c r="I26" s="504"/>
    </row>
    <row r="27" spans="1:9" s="330" customFormat="1" ht="12.75" customHeight="1" x14ac:dyDescent="0.25">
      <c r="A27" s="499"/>
      <c r="B27" s="501"/>
      <c r="C27" s="515" t="s">
        <v>792</v>
      </c>
      <c r="D27" s="503">
        <f>1700-969</f>
        <v>731</v>
      </c>
      <c r="E27" s="503"/>
      <c r="F27" s="503">
        <f>731</f>
        <v>731</v>
      </c>
      <c r="G27" s="503"/>
      <c r="H27" s="503">
        <f t="shared" si="3"/>
        <v>0</v>
      </c>
      <c r="I27" s="504"/>
    </row>
    <row r="28" spans="1:9" s="330" customFormat="1" ht="12.75" customHeight="1" x14ac:dyDescent="0.25">
      <c r="A28" s="499"/>
      <c r="B28" s="501"/>
      <c r="C28" s="515" t="s">
        <v>209</v>
      </c>
      <c r="D28" s="503">
        <f>135-90</f>
        <v>45</v>
      </c>
      <c r="E28" s="503"/>
      <c r="F28" s="503">
        <f>45</f>
        <v>45</v>
      </c>
      <c r="G28" s="503"/>
      <c r="H28" s="503">
        <f t="shared" si="3"/>
        <v>0</v>
      </c>
      <c r="I28" s="504"/>
    </row>
    <row r="29" spans="1:9" s="330" customFormat="1" ht="12.75" customHeight="1" x14ac:dyDescent="0.25">
      <c r="A29" s="499"/>
      <c r="B29" s="501"/>
      <c r="C29" s="515" t="s">
        <v>793</v>
      </c>
      <c r="D29" s="503">
        <f>5200-1920</f>
        <v>3280</v>
      </c>
      <c r="E29" s="503"/>
      <c r="F29" s="503">
        <f>3280</f>
        <v>3280</v>
      </c>
      <c r="G29" s="503"/>
      <c r="H29" s="503">
        <f t="shared" si="3"/>
        <v>0</v>
      </c>
      <c r="I29" s="504"/>
    </row>
    <row r="30" spans="1:9" s="330" customFormat="1" ht="12.75" customHeight="1" x14ac:dyDescent="0.25">
      <c r="A30" s="499"/>
      <c r="B30" s="501"/>
      <c r="C30" s="515" t="s">
        <v>1822</v>
      </c>
      <c r="D30" s="503">
        <f>3500-1425</f>
        <v>2075</v>
      </c>
      <c r="E30" s="503"/>
      <c r="F30" s="503">
        <f>2075</f>
        <v>2075</v>
      </c>
      <c r="G30" s="503"/>
      <c r="H30" s="503">
        <f t="shared" si="3"/>
        <v>0</v>
      </c>
      <c r="I30" s="504"/>
    </row>
    <row r="31" spans="1:9" s="330" customFormat="1" ht="12.75" customHeight="1" x14ac:dyDescent="0.25">
      <c r="A31" s="499"/>
      <c r="B31" s="501"/>
      <c r="C31" s="515" t="s">
        <v>794</v>
      </c>
      <c r="D31" s="503">
        <v>175</v>
      </c>
      <c r="E31" s="503"/>
      <c r="F31" s="503">
        <f>175</f>
        <v>175</v>
      </c>
      <c r="G31" s="503"/>
      <c r="H31" s="503">
        <f t="shared" si="3"/>
        <v>0</v>
      </c>
      <c r="I31" s="504"/>
    </row>
    <row r="32" spans="1:9" s="330" customFormat="1" ht="12.75" customHeight="1" thickBot="1" x14ac:dyDescent="0.3">
      <c r="A32" s="499"/>
      <c r="B32" s="501"/>
      <c r="C32" s="519" t="s">
        <v>555</v>
      </c>
      <c r="D32" s="405">
        <f>SUM(D26:D31)</f>
        <v>7434</v>
      </c>
      <c r="E32" s="519"/>
      <c r="F32" s="405">
        <f>SUM(F26:F31)</f>
        <v>7434</v>
      </c>
      <c r="G32" s="519"/>
      <c r="H32" s="405">
        <f>SUM(H26:H31)</f>
        <v>0</v>
      </c>
      <c r="I32" s="50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9">
    <pageSetUpPr fitToPage="1"/>
  </sheetPr>
  <dimension ref="A1:I3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719</v>
      </c>
      <c r="B4" s="126"/>
      <c r="C4" s="127"/>
      <c r="D4" s="128" t="s">
        <v>189</v>
      </c>
      <c r="E4" s="124"/>
      <c r="F4" s="124"/>
      <c r="G4" s="124"/>
      <c r="H4" s="125"/>
      <c r="I4" s="125"/>
    </row>
    <row r="5" spans="1:9" ht="15.75" x14ac:dyDescent="0.25">
      <c r="A5" s="129" t="s">
        <v>109</v>
      </c>
      <c r="B5" s="130"/>
      <c r="C5" s="131"/>
      <c r="D5" s="132" t="s">
        <v>190</v>
      </c>
      <c r="E5" s="133"/>
      <c r="F5" s="134"/>
      <c r="G5" s="134"/>
      <c r="H5" s="130"/>
      <c r="I5" s="125"/>
    </row>
    <row r="6" spans="1:9" ht="15.75" x14ac:dyDescent="0.25">
      <c r="A6" s="86" t="str">
        <f>'RECAP #9279.40'!B6</f>
        <v>Project Manager - Jennifer K.</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846</v>
      </c>
      <c r="B9" s="409">
        <v>45807</v>
      </c>
      <c r="C9" s="410" t="s">
        <v>107</v>
      </c>
      <c r="D9" s="411">
        <v>648615.68999999994</v>
      </c>
      <c r="E9" s="412">
        <f>D9</f>
        <v>648615.68999999994</v>
      </c>
      <c r="F9" s="413"/>
      <c r="G9" s="413"/>
      <c r="H9" s="413">
        <f>E9</f>
        <v>648615.68999999994</v>
      </c>
      <c r="I9" s="414"/>
    </row>
    <row r="10" spans="1:9" s="330" customFormat="1" ht="12.75" customHeight="1" x14ac:dyDescent="0.25">
      <c r="A10" s="408" t="s">
        <v>846</v>
      </c>
      <c r="B10" s="240">
        <v>45821</v>
      </c>
      <c r="C10" s="410" t="s">
        <v>301</v>
      </c>
      <c r="D10" s="411">
        <v>157405.49</v>
      </c>
      <c r="E10" s="412">
        <f t="shared" ref="E10:E23" si="0">E9+D10</f>
        <v>806021.17999999993</v>
      </c>
      <c r="F10" s="445"/>
      <c r="G10" s="413">
        <f t="shared" ref="G10:G23" si="1">G9+F10</f>
        <v>0</v>
      </c>
      <c r="H10" s="413">
        <f t="shared" ref="H10:H23" si="2">H9-F10+D10</f>
        <v>806021.17999999993</v>
      </c>
      <c r="I10" s="414"/>
    </row>
    <row r="11" spans="1:9" s="330" customFormat="1" ht="12.75" customHeight="1" x14ac:dyDescent="0.25">
      <c r="A11" s="415" t="s">
        <v>984</v>
      </c>
      <c r="B11" s="480">
        <v>45861</v>
      </c>
      <c r="C11" s="417" t="s">
        <v>985</v>
      </c>
      <c r="D11" s="418"/>
      <c r="E11" s="418">
        <f t="shared" si="0"/>
        <v>806021.17999999993</v>
      </c>
      <c r="F11" s="419">
        <v>7585.17</v>
      </c>
      <c r="G11" s="420">
        <f t="shared" si="1"/>
        <v>7585.17</v>
      </c>
      <c r="H11" s="420">
        <f t="shared" si="2"/>
        <v>798436.00999999989</v>
      </c>
      <c r="I11" s="421" t="s">
        <v>1015</v>
      </c>
    </row>
    <row r="12" spans="1:9" s="330" customFormat="1" ht="12.75" customHeight="1" x14ac:dyDescent="0.25">
      <c r="A12" s="408" t="s">
        <v>1025</v>
      </c>
      <c r="B12" s="409">
        <v>45889</v>
      </c>
      <c r="C12" s="410" t="s">
        <v>1017</v>
      </c>
      <c r="D12" s="411">
        <v>0</v>
      </c>
      <c r="E12" s="412">
        <f t="shared" si="0"/>
        <v>806021.17999999993</v>
      </c>
      <c r="F12" s="445"/>
      <c r="G12" s="413">
        <f t="shared" si="1"/>
        <v>7585.17</v>
      </c>
      <c r="H12" s="413">
        <f t="shared" si="2"/>
        <v>798436.00999999989</v>
      </c>
      <c r="I12" s="414"/>
    </row>
    <row r="13" spans="1:9" s="330" customFormat="1" ht="12.75" customHeight="1" x14ac:dyDescent="0.25">
      <c r="A13" s="408" t="s">
        <v>1117</v>
      </c>
      <c r="B13" s="240">
        <v>45911</v>
      </c>
      <c r="C13" s="410" t="s">
        <v>1118</v>
      </c>
      <c r="D13" s="412"/>
      <c r="E13" s="412">
        <f t="shared" si="0"/>
        <v>806021.17999999993</v>
      </c>
      <c r="F13" s="445">
        <v>33771.22</v>
      </c>
      <c r="G13" s="413">
        <f t="shared" si="1"/>
        <v>41356.39</v>
      </c>
      <c r="H13" s="413">
        <f t="shared" si="2"/>
        <v>764664.78999999992</v>
      </c>
      <c r="I13" s="414"/>
    </row>
    <row r="14" spans="1:9" s="330" customFormat="1" ht="12.75" customHeight="1" x14ac:dyDescent="0.25">
      <c r="A14" s="408" t="s">
        <v>1147</v>
      </c>
      <c r="B14" s="409">
        <v>45915</v>
      </c>
      <c r="C14" s="410" t="s">
        <v>1148</v>
      </c>
      <c r="D14" s="412"/>
      <c r="E14" s="412">
        <f t="shared" si="0"/>
        <v>806021.17999999993</v>
      </c>
      <c r="F14" s="445">
        <v>51984.88</v>
      </c>
      <c r="G14" s="413">
        <f t="shared" si="1"/>
        <v>93341.26999999999</v>
      </c>
      <c r="H14" s="413">
        <f t="shared" si="2"/>
        <v>712679.90999999992</v>
      </c>
      <c r="I14" s="414"/>
    </row>
    <row r="15" spans="1:9" s="330" customFormat="1" ht="12.75" customHeight="1" x14ac:dyDescent="0.25">
      <c r="A15" s="408" t="s">
        <v>1272</v>
      </c>
      <c r="B15" s="409">
        <v>45947</v>
      </c>
      <c r="C15" s="410" t="s">
        <v>1273</v>
      </c>
      <c r="D15" s="411"/>
      <c r="E15" s="412">
        <f t="shared" si="0"/>
        <v>806021.17999999993</v>
      </c>
      <c r="F15" s="445">
        <v>74726.460000000006</v>
      </c>
      <c r="G15" s="413">
        <f t="shared" si="1"/>
        <v>168067.72999999998</v>
      </c>
      <c r="H15" s="413">
        <f t="shared" si="2"/>
        <v>637953.44999999995</v>
      </c>
      <c r="I15" s="414"/>
    </row>
    <row r="16" spans="1:9" s="330" customFormat="1" ht="12.75" customHeight="1" x14ac:dyDescent="0.25">
      <c r="A16" s="408" t="s">
        <v>1363</v>
      </c>
      <c r="B16" s="409">
        <v>45981</v>
      </c>
      <c r="C16" s="410" t="s">
        <v>1364</v>
      </c>
      <c r="D16" s="412"/>
      <c r="E16" s="412">
        <f t="shared" si="0"/>
        <v>806021.17999999993</v>
      </c>
      <c r="F16" s="445">
        <v>78706.92</v>
      </c>
      <c r="G16" s="413">
        <f t="shared" si="1"/>
        <v>246774.64999999997</v>
      </c>
      <c r="H16" s="413">
        <f t="shared" si="2"/>
        <v>559246.52999999991</v>
      </c>
      <c r="I16" s="414"/>
    </row>
    <row r="17" spans="1:9" s="330" customFormat="1" ht="12.75" customHeight="1" x14ac:dyDescent="0.25">
      <c r="A17" s="408" t="s">
        <v>1426</v>
      </c>
      <c r="B17" s="409">
        <v>46008</v>
      </c>
      <c r="C17" s="410" t="s">
        <v>1427</v>
      </c>
      <c r="D17" s="412"/>
      <c r="E17" s="412">
        <f t="shared" si="0"/>
        <v>806021.17999999993</v>
      </c>
      <c r="F17" s="445">
        <v>76698.399999999994</v>
      </c>
      <c r="G17" s="413">
        <f t="shared" si="1"/>
        <v>323473.04999999993</v>
      </c>
      <c r="H17" s="413">
        <f t="shared" si="2"/>
        <v>482548.12999999989</v>
      </c>
      <c r="I17" s="414"/>
    </row>
    <row r="18" spans="1:9" s="330" customFormat="1" ht="12.75" customHeight="1" x14ac:dyDescent="0.25">
      <c r="A18" s="408" t="s">
        <v>1511</v>
      </c>
      <c r="B18" s="409">
        <v>46042</v>
      </c>
      <c r="C18" s="410" t="s">
        <v>1512</v>
      </c>
      <c r="D18" s="411"/>
      <c r="E18" s="412">
        <f t="shared" si="0"/>
        <v>806021.17999999993</v>
      </c>
      <c r="F18" s="445">
        <v>57069.54</v>
      </c>
      <c r="G18" s="413">
        <f t="shared" si="1"/>
        <v>380542.58999999991</v>
      </c>
      <c r="H18" s="413">
        <f t="shared" si="2"/>
        <v>425478.58999999991</v>
      </c>
      <c r="I18" s="414"/>
    </row>
    <row r="19" spans="1:9" s="330" customFormat="1" ht="12.75" customHeight="1" x14ac:dyDescent="0.25">
      <c r="A19" s="408" t="s">
        <v>1626</v>
      </c>
      <c r="B19" s="409">
        <v>46073</v>
      </c>
      <c r="C19" s="410" t="s">
        <v>1627</v>
      </c>
      <c r="D19" s="412"/>
      <c r="E19" s="412">
        <f t="shared" si="0"/>
        <v>806021.17999999993</v>
      </c>
      <c r="F19" s="445">
        <v>46850.99</v>
      </c>
      <c r="G19" s="413">
        <f t="shared" si="1"/>
        <v>427393.5799999999</v>
      </c>
      <c r="H19" s="413">
        <f t="shared" si="2"/>
        <v>378627.59999999992</v>
      </c>
      <c r="I19" s="414"/>
    </row>
    <row r="20" spans="1:9" s="330" customFormat="1" ht="12.75" customHeight="1" x14ac:dyDescent="0.25">
      <c r="A20" s="408" t="s">
        <v>1702</v>
      </c>
      <c r="B20" s="409">
        <v>46099</v>
      </c>
      <c r="C20" s="410" t="s">
        <v>1703</v>
      </c>
      <c r="D20" s="412"/>
      <c r="E20" s="412">
        <f t="shared" si="0"/>
        <v>806021.17999999993</v>
      </c>
      <c r="F20" s="445">
        <v>44739.839999999997</v>
      </c>
      <c r="G20" s="413">
        <f t="shared" si="1"/>
        <v>472133.41999999993</v>
      </c>
      <c r="H20" s="413">
        <f t="shared" si="2"/>
        <v>333887.75999999989</v>
      </c>
      <c r="I20" s="414"/>
    </row>
    <row r="21" spans="1:9" s="330" customFormat="1" ht="12.75" customHeight="1" x14ac:dyDescent="0.25">
      <c r="A21" s="408" t="s">
        <v>1789</v>
      </c>
      <c r="B21" s="409">
        <v>46133</v>
      </c>
      <c r="C21" s="410" t="s">
        <v>1790</v>
      </c>
      <c r="D21" s="412"/>
      <c r="E21" s="412">
        <f t="shared" si="0"/>
        <v>806021.17999999993</v>
      </c>
      <c r="F21" s="445">
        <v>71445.83</v>
      </c>
      <c r="G21" s="413">
        <f t="shared" si="1"/>
        <v>543579.24999999988</v>
      </c>
      <c r="H21" s="413">
        <f t="shared" si="2"/>
        <v>262441.92999999988</v>
      </c>
      <c r="I21" s="414"/>
    </row>
    <row r="22" spans="1:9" s="330" customFormat="1" ht="12.75" customHeight="1" x14ac:dyDescent="0.25">
      <c r="A22" s="408"/>
      <c r="B22" s="409"/>
      <c r="C22" s="410"/>
      <c r="D22" s="412"/>
      <c r="E22" s="412">
        <f t="shared" si="0"/>
        <v>806021.17999999993</v>
      </c>
      <c r="F22" s="445"/>
      <c r="G22" s="413">
        <f t="shared" si="1"/>
        <v>543579.24999999988</v>
      </c>
      <c r="H22" s="413">
        <f t="shared" si="2"/>
        <v>262441.92999999988</v>
      </c>
      <c r="I22" s="414"/>
    </row>
    <row r="23" spans="1:9" s="330" customFormat="1" ht="12.75" customHeight="1" x14ac:dyDescent="0.25">
      <c r="A23" s="408"/>
      <c r="B23" s="409"/>
      <c r="C23" s="423"/>
      <c r="D23" s="412"/>
      <c r="E23" s="412">
        <f t="shared" si="0"/>
        <v>806021.17999999993</v>
      </c>
      <c r="F23" s="413"/>
      <c r="G23" s="413">
        <f t="shared" si="1"/>
        <v>543579.24999999988</v>
      </c>
      <c r="H23" s="413">
        <f t="shared" si="2"/>
        <v>262441.92999999988</v>
      </c>
      <c r="I23" s="414"/>
    </row>
    <row r="24" spans="1:9" s="330" customFormat="1" ht="12.75" customHeight="1" x14ac:dyDescent="0.25">
      <c r="A24" s="408"/>
      <c r="B24" s="410"/>
      <c r="C24" s="425"/>
      <c r="D24" s="413"/>
      <c r="E24" s="413"/>
      <c r="F24" s="413"/>
      <c r="G24" s="413"/>
      <c r="H24" s="413"/>
      <c r="I24" s="414"/>
    </row>
    <row r="25" spans="1:9" s="330" customFormat="1" ht="12.75" customHeight="1" thickBot="1" x14ac:dyDescent="0.3">
      <c r="A25" s="408"/>
      <c r="B25" s="449"/>
      <c r="C25" s="450" t="s">
        <v>54</v>
      </c>
      <c r="D25" s="426">
        <f>SUM(D9:D24)</f>
        <v>806021.17999999993</v>
      </c>
      <c r="E25" s="426"/>
      <c r="F25" s="426">
        <f>SUM(F9:F24)</f>
        <v>543579.24999999988</v>
      </c>
      <c r="G25" s="426"/>
      <c r="H25" s="426">
        <f>D25-F25</f>
        <v>262441.93000000005</v>
      </c>
      <c r="I25" s="414"/>
    </row>
    <row r="26" spans="1:9" s="330" customFormat="1" ht="12.75" customHeight="1" thickTop="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5" t="s">
        <v>192</v>
      </c>
      <c r="D28" s="413">
        <v>377103.98</v>
      </c>
      <c r="E28" s="413"/>
      <c r="F28" s="413">
        <f>269485.38</f>
        <v>269485.38</v>
      </c>
      <c r="G28" s="413"/>
      <c r="H28" s="413">
        <f>D28-F28</f>
        <v>107618.59999999998</v>
      </c>
      <c r="I28" s="414"/>
    </row>
    <row r="29" spans="1:9" s="330" customFormat="1" ht="12.75" customHeight="1" x14ac:dyDescent="0.25">
      <c r="A29" s="408"/>
      <c r="B29" s="410"/>
      <c r="C29" s="425" t="s">
        <v>156</v>
      </c>
      <c r="D29" s="413">
        <v>7581.5</v>
      </c>
      <c r="E29" s="413"/>
      <c r="F29" s="413">
        <f>4513.5</f>
        <v>4513.5</v>
      </c>
      <c r="G29" s="413"/>
      <c r="H29" s="413">
        <f>D29-F29</f>
        <v>3068</v>
      </c>
      <c r="I29" s="414"/>
    </row>
    <row r="30" spans="1:9" s="330" customFormat="1" ht="12.75" customHeight="1" x14ac:dyDescent="0.25">
      <c r="A30" s="408"/>
      <c r="B30" s="410"/>
      <c r="C30" s="425" t="s">
        <v>796</v>
      </c>
      <c r="D30" s="413">
        <v>129870.21</v>
      </c>
      <c r="E30" s="413"/>
      <c r="F30" s="413">
        <v>89000</v>
      </c>
      <c r="G30" s="413"/>
      <c r="H30" s="413">
        <f>D30-F30</f>
        <v>40870.210000000006</v>
      </c>
      <c r="I30" s="414"/>
    </row>
    <row r="31" spans="1:9" s="330" customFormat="1" ht="12.75" customHeight="1" x14ac:dyDescent="0.25">
      <c r="A31" s="408"/>
      <c r="B31" s="410"/>
      <c r="C31" s="425" t="s">
        <v>797</v>
      </c>
      <c r="D31" s="413">
        <v>134060</v>
      </c>
      <c r="E31" s="413"/>
      <c r="F31" s="413">
        <v>33051.339999999997</v>
      </c>
      <c r="G31" s="413"/>
      <c r="H31" s="413">
        <f>D31-F31</f>
        <v>101008.66</v>
      </c>
      <c r="I31" s="414"/>
    </row>
    <row r="32" spans="1:9" s="330" customFormat="1" ht="12.75" customHeight="1" x14ac:dyDescent="0.25">
      <c r="A32" s="408"/>
      <c r="B32" s="410"/>
      <c r="C32" s="425" t="s">
        <v>301</v>
      </c>
      <c r="D32" s="413">
        <v>157405.49</v>
      </c>
      <c r="E32" s="413"/>
      <c r="F32" s="413">
        <f>147529.03</f>
        <v>147529.03</v>
      </c>
      <c r="G32" s="413"/>
      <c r="H32" s="413">
        <f>D32-F32</f>
        <v>9876.4599999999919</v>
      </c>
      <c r="I32" s="414"/>
    </row>
    <row r="33" spans="1:9" s="330" customFormat="1" ht="12.75" customHeight="1" thickBot="1" x14ac:dyDescent="0.3">
      <c r="A33" s="408"/>
      <c r="B33" s="410"/>
      <c r="C33" s="424" t="s">
        <v>555</v>
      </c>
      <c r="D33" s="426">
        <f>SUM(D28:D32)</f>
        <v>806021.17999999993</v>
      </c>
      <c r="E33" s="427"/>
      <c r="F33" s="426">
        <f>SUM(F28:F32)</f>
        <v>543579.25</v>
      </c>
      <c r="G33" s="427"/>
      <c r="H33" s="426">
        <f>SUM(H28:H32)</f>
        <v>262441.93</v>
      </c>
      <c r="I33" s="491"/>
    </row>
    <row r="34" spans="1:9" s="330" customFormat="1" ht="12.75" customHeight="1" thickTop="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I30"/>
  <sheetViews>
    <sheetView tabSelected="1" topLeftCell="A3"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#9239.02'!B1</f>
        <v>DOC-NCF-IPI Homes or Iowa Facility Project Phase II(Warehouse)</v>
      </c>
      <c r="B1" s="109"/>
      <c r="C1" s="179"/>
      <c r="D1" s="179"/>
      <c r="E1" s="179"/>
      <c r="F1" s="180"/>
      <c r="G1" s="180"/>
      <c r="H1" s="181"/>
      <c r="I1" s="181"/>
    </row>
    <row r="2" spans="1:9" ht="15.75" x14ac:dyDescent="0.25">
      <c r="A2" s="126" t="str">
        <f>'RECAP #9239.02'!B2</f>
        <v>Project # 9239.02</v>
      </c>
      <c r="B2" s="182"/>
      <c r="C2" s="182"/>
      <c r="D2" s="179"/>
      <c r="E2" s="179"/>
      <c r="F2" s="180"/>
      <c r="G2" s="180"/>
      <c r="H2" s="181"/>
      <c r="I2" s="181"/>
    </row>
    <row r="3" spans="1:9" ht="15.75" x14ac:dyDescent="0.25">
      <c r="A3" s="183" t="str">
        <f>'RECAP #9239.02'!B3</f>
        <v>Program code 923902</v>
      </c>
      <c r="B3" s="182"/>
      <c r="C3" s="182"/>
      <c r="D3" s="184" t="str">
        <f>'RECAP #9239.02'!E3</f>
        <v>Major Program 4B01</v>
      </c>
      <c r="E3" s="179"/>
      <c r="F3" s="180"/>
      <c r="G3" s="180"/>
      <c r="H3" s="181"/>
      <c r="I3" s="181"/>
    </row>
    <row r="4" spans="1:9" ht="15.75" x14ac:dyDescent="0.25">
      <c r="A4" s="109" t="s">
        <v>481</v>
      </c>
      <c r="B4" s="126"/>
      <c r="C4" s="126"/>
      <c r="D4" s="181" t="s">
        <v>482</v>
      </c>
      <c r="E4" s="180"/>
      <c r="F4" s="180"/>
      <c r="G4" s="180"/>
      <c r="H4" s="181"/>
      <c r="I4" s="181"/>
    </row>
    <row r="5" spans="1:9" ht="15.75" x14ac:dyDescent="0.25">
      <c r="A5" s="186" t="s">
        <v>109</v>
      </c>
      <c r="B5" s="181"/>
      <c r="C5" s="187"/>
      <c r="D5" s="132" t="s">
        <v>483</v>
      </c>
      <c r="E5" s="137"/>
      <c r="F5" s="180"/>
      <c r="G5" s="180"/>
      <c r="H5" s="181"/>
      <c r="I5" s="181"/>
    </row>
    <row r="6" spans="1:9" ht="15.75" x14ac:dyDescent="0.25">
      <c r="A6" s="126" t="str">
        <f>'RECAP #9239.02'!B6</f>
        <v>Project Manager - Brad T.</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484</v>
      </c>
      <c r="B9" s="500">
        <v>45688</v>
      </c>
      <c r="C9" s="501" t="s">
        <v>107</v>
      </c>
      <c r="D9" s="404">
        <v>10000</v>
      </c>
      <c r="E9" s="502">
        <f>D9</f>
        <v>10000</v>
      </c>
      <c r="F9" s="503"/>
      <c r="G9" s="503"/>
      <c r="H9" s="503">
        <f>E9</f>
        <v>10000</v>
      </c>
      <c r="I9" s="503"/>
    </row>
    <row r="10" spans="1:9" s="330" customFormat="1" ht="12.75" customHeight="1" x14ac:dyDescent="0.25">
      <c r="A10" s="499" t="s">
        <v>557</v>
      </c>
      <c r="B10" s="365">
        <v>45723</v>
      </c>
      <c r="C10" s="501" t="s">
        <v>558</v>
      </c>
      <c r="D10" s="502"/>
      <c r="E10" s="502">
        <f t="shared" ref="E10:E21" si="0">E9+D10</f>
        <v>10000</v>
      </c>
      <c r="F10" s="406">
        <v>3486.59</v>
      </c>
      <c r="G10" s="503">
        <f t="shared" ref="G10:G21" si="1">G9+F10</f>
        <v>3486.59</v>
      </c>
      <c r="H10" s="503">
        <f t="shared" ref="H10:H21" si="2">H9-F10+D10</f>
        <v>6513.41</v>
      </c>
      <c r="I10" s="503"/>
    </row>
    <row r="11" spans="1:9" s="330" customFormat="1" ht="12.75" customHeight="1" x14ac:dyDescent="0.25">
      <c r="A11" s="499" t="s">
        <v>647</v>
      </c>
      <c r="B11" s="500">
        <v>45755</v>
      </c>
      <c r="C11" s="501" t="s">
        <v>648</v>
      </c>
      <c r="D11" s="502"/>
      <c r="E11" s="502">
        <f t="shared" si="0"/>
        <v>10000</v>
      </c>
      <c r="F11" s="406">
        <v>3255</v>
      </c>
      <c r="G11" s="503">
        <f t="shared" si="1"/>
        <v>6741.59</v>
      </c>
      <c r="H11" s="503">
        <f t="shared" si="2"/>
        <v>3258.41</v>
      </c>
      <c r="I11" s="503"/>
    </row>
    <row r="12" spans="1:9" s="330" customFormat="1" ht="12.75" customHeight="1" x14ac:dyDescent="0.25">
      <c r="A12" s="499" t="s">
        <v>721</v>
      </c>
      <c r="B12" s="500">
        <v>45784</v>
      </c>
      <c r="C12" s="501" t="s">
        <v>722</v>
      </c>
      <c r="D12" s="502"/>
      <c r="E12" s="502">
        <f t="shared" si="0"/>
        <v>10000</v>
      </c>
      <c r="F12" s="406">
        <v>968.24</v>
      </c>
      <c r="G12" s="503">
        <f t="shared" si="1"/>
        <v>7709.83</v>
      </c>
      <c r="H12" s="503">
        <f t="shared" si="2"/>
        <v>2290.17</v>
      </c>
      <c r="I12" s="503"/>
    </row>
    <row r="13" spans="1:9" s="330" customFormat="1" ht="12.75" customHeight="1" x14ac:dyDescent="0.25">
      <c r="A13" s="499" t="s">
        <v>772</v>
      </c>
      <c r="B13" s="500">
        <v>45800</v>
      </c>
      <c r="C13" s="501" t="s">
        <v>773</v>
      </c>
      <c r="D13" s="587">
        <v>-74.849999999999994</v>
      </c>
      <c r="E13" s="502">
        <f t="shared" si="0"/>
        <v>9925.15</v>
      </c>
      <c r="F13" s="406">
        <v>2215.3200000000002</v>
      </c>
      <c r="G13" s="503">
        <f t="shared" si="1"/>
        <v>9925.15</v>
      </c>
      <c r="H13" s="503">
        <f t="shared" si="2"/>
        <v>0</v>
      </c>
      <c r="I13" s="503"/>
    </row>
    <row r="14" spans="1:9" s="330" customFormat="1" ht="12.75" customHeight="1" x14ac:dyDescent="0.25">
      <c r="A14" s="499"/>
      <c r="B14" s="500"/>
      <c r="C14" s="501"/>
      <c r="D14" s="502"/>
      <c r="E14" s="502">
        <f t="shared" si="0"/>
        <v>9925.15</v>
      </c>
      <c r="F14" s="503"/>
      <c r="G14" s="503">
        <f t="shared" si="1"/>
        <v>9925.15</v>
      </c>
      <c r="H14" s="503">
        <f t="shared" si="2"/>
        <v>0</v>
      </c>
      <c r="I14" s="503"/>
    </row>
    <row r="15" spans="1:9" s="330" customFormat="1" ht="12.75" customHeight="1" x14ac:dyDescent="0.25">
      <c r="A15" s="499"/>
      <c r="B15" s="500"/>
      <c r="C15" s="501"/>
      <c r="D15" s="502"/>
      <c r="E15" s="502">
        <f t="shared" si="0"/>
        <v>9925.15</v>
      </c>
      <c r="F15" s="406"/>
      <c r="G15" s="503">
        <f t="shared" si="1"/>
        <v>9925.15</v>
      </c>
      <c r="H15" s="503">
        <f t="shared" si="2"/>
        <v>0</v>
      </c>
      <c r="I15" s="503"/>
    </row>
    <row r="16" spans="1:9" s="330" customFormat="1" ht="12.75" customHeight="1" x14ac:dyDescent="0.25">
      <c r="A16" s="499"/>
      <c r="B16" s="500"/>
      <c r="C16" s="501"/>
      <c r="D16" s="502"/>
      <c r="E16" s="502">
        <f t="shared" si="0"/>
        <v>9925.15</v>
      </c>
      <c r="F16" s="406"/>
      <c r="G16" s="503">
        <f t="shared" si="1"/>
        <v>9925.15</v>
      </c>
      <c r="H16" s="503">
        <f t="shared" si="2"/>
        <v>0</v>
      </c>
      <c r="I16" s="503"/>
    </row>
    <row r="17" spans="1:9" s="330" customFormat="1" ht="12.75" customHeight="1" x14ac:dyDescent="0.25">
      <c r="A17" s="499"/>
      <c r="B17" s="500"/>
      <c r="C17" s="501"/>
      <c r="D17" s="502"/>
      <c r="E17" s="502">
        <f t="shared" si="0"/>
        <v>9925.15</v>
      </c>
      <c r="F17" s="406"/>
      <c r="G17" s="503">
        <f t="shared" si="1"/>
        <v>9925.15</v>
      </c>
      <c r="H17" s="503">
        <f t="shared" si="2"/>
        <v>0</v>
      </c>
      <c r="I17" s="503"/>
    </row>
    <row r="18" spans="1:9" s="330" customFormat="1" ht="12.75" customHeight="1" x14ac:dyDescent="0.25">
      <c r="A18" s="499"/>
      <c r="B18" s="500"/>
      <c r="C18" s="501"/>
      <c r="D18" s="502"/>
      <c r="E18" s="502">
        <f t="shared" si="0"/>
        <v>9925.15</v>
      </c>
      <c r="F18" s="406"/>
      <c r="G18" s="503">
        <f t="shared" si="1"/>
        <v>9925.15</v>
      </c>
      <c r="H18" s="503">
        <f t="shared" si="2"/>
        <v>0</v>
      </c>
      <c r="I18" s="503"/>
    </row>
    <row r="19" spans="1:9" s="330" customFormat="1" ht="12.75" customHeight="1" x14ac:dyDescent="0.25">
      <c r="A19" s="499"/>
      <c r="B19" s="500"/>
      <c r="C19" s="501"/>
      <c r="D19" s="502"/>
      <c r="E19" s="502">
        <f t="shared" si="0"/>
        <v>9925.15</v>
      </c>
      <c r="F19" s="503"/>
      <c r="G19" s="503">
        <f t="shared" si="1"/>
        <v>9925.15</v>
      </c>
      <c r="H19" s="503">
        <f t="shared" si="2"/>
        <v>0</v>
      </c>
      <c r="I19" s="503"/>
    </row>
    <row r="20" spans="1:9" s="330" customFormat="1" ht="12.75" customHeight="1" x14ac:dyDescent="0.25">
      <c r="A20" s="499"/>
      <c r="B20" s="500"/>
      <c r="C20" s="501"/>
      <c r="D20" s="502"/>
      <c r="E20" s="502">
        <f t="shared" si="0"/>
        <v>9925.15</v>
      </c>
      <c r="F20" s="503"/>
      <c r="G20" s="503">
        <f t="shared" si="1"/>
        <v>9925.15</v>
      </c>
      <c r="H20" s="503">
        <f t="shared" si="2"/>
        <v>0</v>
      </c>
      <c r="I20" s="503"/>
    </row>
    <row r="21" spans="1:9" s="330" customFormat="1" ht="12.75" customHeight="1" x14ac:dyDescent="0.25">
      <c r="A21" s="499"/>
      <c r="B21" s="500"/>
      <c r="C21" s="514"/>
      <c r="D21" s="502"/>
      <c r="E21" s="502">
        <f t="shared" si="0"/>
        <v>9925.15</v>
      </c>
      <c r="F21" s="503"/>
      <c r="G21" s="503">
        <f t="shared" si="1"/>
        <v>9925.15</v>
      </c>
      <c r="H21" s="503">
        <f t="shared" si="2"/>
        <v>0</v>
      </c>
      <c r="I21" s="503"/>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9925.15</v>
      </c>
      <c r="E23" s="405"/>
      <c r="F23" s="405">
        <f>SUM(F9:F22)</f>
        <v>9925.15</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192</v>
      </c>
      <c r="D26" s="503">
        <v>9835.15</v>
      </c>
      <c r="E26" s="503"/>
      <c r="F26" s="503">
        <f>3486.59+3255+923.24+2170.32</f>
        <v>9835.15</v>
      </c>
      <c r="G26" s="503"/>
      <c r="H26" s="503">
        <f>D26-F26</f>
        <v>0</v>
      </c>
      <c r="I26" s="504"/>
    </row>
    <row r="27" spans="1:9" s="330" customFormat="1" ht="12.75" customHeight="1" x14ac:dyDescent="0.25">
      <c r="A27" s="499"/>
      <c r="B27" s="501"/>
      <c r="C27" s="515" t="s">
        <v>156</v>
      </c>
      <c r="D27" s="503">
        <f>164.85-74.85</f>
        <v>90</v>
      </c>
      <c r="E27" s="503"/>
      <c r="F27" s="503">
        <f>45+45</f>
        <v>90</v>
      </c>
      <c r="G27" s="503"/>
      <c r="H27" s="503">
        <f>D27-F27</f>
        <v>0</v>
      </c>
      <c r="I27" s="504"/>
    </row>
    <row r="28" spans="1:9" s="330" customFormat="1" ht="12.75" customHeight="1" thickBot="1" x14ac:dyDescent="0.3">
      <c r="A28" s="499"/>
      <c r="B28" s="501"/>
      <c r="C28" s="518" t="s">
        <v>555</v>
      </c>
      <c r="D28" s="405">
        <f>SUM(D26:D27)</f>
        <v>9925.15</v>
      </c>
      <c r="E28" s="519"/>
      <c r="F28" s="405">
        <f>SUM(F26:F27)</f>
        <v>9925.15</v>
      </c>
      <c r="G28" s="519"/>
      <c r="H28" s="405">
        <f>SUM(H26:H27)</f>
        <v>0</v>
      </c>
      <c r="I28" s="504"/>
    </row>
    <row r="29" spans="1:9" s="330" customFormat="1" ht="12.75" customHeight="1" thickTop="1" x14ac:dyDescent="0.25"/>
    <row r="30" spans="1:9"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tabColor rgb="FF0070C0"/>
    <pageSetUpPr fitToPage="1"/>
  </sheetPr>
  <dimension ref="A1:I15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807</v>
      </c>
      <c r="B4" s="126"/>
      <c r="C4" s="181"/>
      <c r="D4" s="185" t="s">
        <v>808</v>
      </c>
      <c r="E4" s="180"/>
      <c r="F4" s="180"/>
      <c r="G4" s="180"/>
      <c r="H4" s="181"/>
      <c r="I4" s="181"/>
    </row>
    <row r="5" spans="1:9" ht="15.75" x14ac:dyDescent="0.25">
      <c r="A5" s="186" t="s">
        <v>109</v>
      </c>
      <c r="B5" s="181"/>
      <c r="C5" s="187"/>
      <c r="D5" s="132" t="s">
        <v>809</v>
      </c>
      <c r="E5" s="137"/>
      <c r="F5" s="180"/>
      <c r="G5" s="180"/>
      <c r="H5" s="181"/>
      <c r="I5" s="181"/>
    </row>
    <row r="6" spans="1:9" ht="15.75" x14ac:dyDescent="0.25">
      <c r="A6" s="126" t="str">
        <f>'RECAP #9279.40'!B6</f>
        <v>Project Manager - Jennifer K.</v>
      </c>
      <c r="B6" s="126"/>
      <c r="C6" s="188"/>
      <c r="D6" s="189" t="s">
        <v>810</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542" t="s">
        <v>811</v>
      </c>
      <c r="B9" s="543">
        <v>45812</v>
      </c>
      <c r="C9" s="544" t="s">
        <v>703</v>
      </c>
      <c r="D9" s="545">
        <v>10772.32</v>
      </c>
      <c r="E9" s="546">
        <f>D9</f>
        <v>10772.32</v>
      </c>
      <c r="F9" s="547"/>
      <c r="G9" s="547"/>
      <c r="H9" s="547">
        <f>E9</f>
        <v>10772.32</v>
      </c>
      <c r="I9" s="511" t="s">
        <v>1015</v>
      </c>
    </row>
    <row r="10" spans="1:9" s="330" customFormat="1" ht="12.75" customHeight="1" x14ac:dyDescent="0.25">
      <c r="A10" s="499" t="s">
        <v>1024</v>
      </c>
      <c r="B10" s="500">
        <v>45889</v>
      </c>
      <c r="C10" s="501" t="s">
        <v>1017</v>
      </c>
      <c r="D10" s="404">
        <v>0</v>
      </c>
      <c r="E10" s="502">
        <f t="shared" ref="E10:E21" si="0">E9+D10</f>
        <v>10772.32</v>
      </c>
      <c r="F10" s="406"/>
      <c r="G10" s="503">
        <f t="shared" ref="G10:G21" si="1">G9+F10</f>
        <v>0</v>
      </c>
      <c r="H10" s="503">
        <f t="shared" ref="H10:H21" si="2">H9-F10+D10</f>
        <v>10772.32</v>
      </c>
      <c r="I10" s="504"/>
    </row>
    <row r="11" spans="1:9" s="330" customFormat="1" ht="12.75" customHeight="1" x14ac:dyDescent="0.25">
      <c r="A11" s="499" t="s">
        <v>1024</v>
      </c>
      <c r="B11" s="500">
        <v>45889</v>
      </c>
      <c r="C11" s="501" t="s">
        <v>301</v>
      </c>
      <c r="D11" s="404">
        <v>5550.92</v>
      </c>
      <c r="E11" s="502">
        <f t="shared" si="0"/>
        <v>16323.24</v>
      </c>
      <c r="F11" s="406"/>
      <c r="G11" s="503">
        <f t="shared" si="1"/>
        <v>0</v>
      </c>
      <c r="H11" s="503">
        <f t="shared" si="2"/>
        <v>16323.24</v>
      </c>
      <c r="I11" s="504"/>
    </row>
    <row r="12" spans="1:9" s="330" customFormat="1" ht="12.75" customHeight="1" x14ac:dyDescent="0.25">
      <c r="A12" s="499" t="s">
        <v>1301</v>
      </c>
      <c r="B12" s="500">
        <v>45965</v>
      </c>
      <c r="C12" s="501" t="s">
        <v>1302</v>
      </c>
      <c r="D12" s="512">
        <v>-2823.2</v>
      </c>
      <c r="E12" s="502">
        <f t="shared" si="0"/>
        <v>13500.04</v>
      </c>
      <c r="F12" s="406">
        <v>13500.04</v>
      </c>
      <c r="G12" s="503">
        <f t="shared" si="1"/>
        <v>13500.04</v>
      </c>
      <c r="H12" s="503">
        <f t="shared" si="2"/>
        <v>0</v>
      </c>
      <c r="I12" s="504"/>
    </row>
    <row r="13" spans="1:9" s="330" customFormat="1" ht="12.75" customHeight="1" x14ac:dyDescent="0.25">
      <c r="A13" s="499"/>
      <c r="B13" s="500"/>
      <c r="C13" s="501"/>
      <c r="D13" s="502"/>
      <c r="E13" s="502">
        <f t="shared" si="0"/>
        <v>13500.04</v>
      </c>
      <c r="F13" s="406"/>
      <c r="G13" s="503">
        <f t="shared" si="1"/>
        <v>13500.04</v>
      </c>
      <c r="H13" s="503">
        <f t="shared" si="2"/>
        <v>0</v>
      </c>
      <c r="I13" s="504"/>
    </row>
    <row r="14" spans="1:9" s="330" customFormat="1" ht="12.75" customHeight="1" x14ac:dyDescent="0.25">
      <c r="A14" s="499"/>
      <c r="B14" s="500"/>
      <c r="C14" s="501"/>
      <c r="D14" s="502"/>
      <c r="E14" s="502">
        <f t="shared" si="0"/>
        <v>13500.04</v>
      </c>
      <c r="F14" s="406"/>
      <c r="G14" s="503">
        <f t="shared" si="1"/>
        <v>13500.04</v>
      </c>
      <c r="H14" s="503">
        <f t="shared" si="2"/>
        <v>0</v>
      </c>
      <c r="I14" s="504"/>
    </row>
    <row r="15" spans="1:9" s="330" customFormat="1" ht="12.75" customHeight="1" x14ac:dyDescent="0.25">
      <c r="A15" s="499"/>
      <c r="B15" s="500"/>
      <c r="C15" s="501"/>
      <c r="D15" s="404"/>
      <c r="E15" s="502">
        <f t="shared" si="0"/>
        <v>13500.04</v>
      </c>
      <c r="F15" s="406"/>
      <c r="G15" s="503">
        <f t="shared" si="1"/>
        <v>13500.04</v>
      </c>
      <c r="H15" s="503">
        <f t="shared" si="2"/>
        <v>0</v>
      </c>
      <c r="I15" s="504"/>
    </row>
    <row r="16" spans="1:9" s="330" customFormat="1" ht="12.75" customHeight="1" x14ac:dyDescent="0.25">
      <c r="A16" s="499"/>
      <c r="B16" s="500"/>
      <c r="C16" s="501"/>
      <c r="D16" s="502"/>
      <c r="E16" s="502">
        <f t="shared" si="0"/>
        <v>13500.04</v>
      </c>
      <c r="F16" s="406"/>
      <c r="G16" s="503">
        <f t="shared" si="1"/>
        <v>13500.04</v>
      </c>
      <c r="H16" s="503">
        <f t="shared" si="2"/>
        <v>0</v>
      </c>
      <c r="I16" s="504"/>
    </row>
    <row r="17" spans="1:9" s="330" customFormat="1" ht="12.75" customHeight="1" x14ac:dyDescent="0.25">
      <c r="A17" s="499"/>
      <c r="B17" s="500"/>
      <c r="C17" s="501"/>
      <c r="D17" s="502"/>
      <c r="E17" s="502">
        <f t="shared" si="0"/>
        <v>13500.04</v>
      </c>
      <c r="F17" s="406"/>
      <c r="G17" s="503">
        <f t="shared" si="1"/>
        <v>13500.04</v>
      </c>
      <c r="H17" s="503">
        <f t="shared" si="2"/>
        <v>0</v>
      </c>
      <c r="I17" s="504"/>
    </row>
    <row r="18" spans="1:9" s="330" customFormat="1" ht="12.75" customHeight="1" x14ac:dyDescent="0.25">
      <c r="A18" s="499"/>
      <c r="B18" s="500"/>
      <c r="C18" s="501"/>
      <c r="D18" s="404"/>
      <c r="E18" s="502">
        <f t="shared" si="0"/>
        <v>13500.04</v>
      </c>
      <c r="F18" s="406"/>
      <c r="G18" s="503">
        <f t="shared" si="1"/>
        <v>13500.04</v>
      </c>
      <c r="H18" s="503">
        <f t="shared" si="2"/>
        <v>0</v>
      </c>
      <c r="I18" s="504"/>
    </row>
    <row r="19" spans="1:9" s="330" customFormat="1" ht="12.75" customHeight="1" x14ac:dyDescent="0.25">
      <c r="A19" s="499"/>
      <c r="B19" s="500"/>
      <c r="C19" s="501"/>
      <c r="D19" s="502"/>
      <c r="E19" s="502">
        <f t="shared" si="0"/>
        <v>13500.04</v>
      </c>
      <c r="F19" s="406"/>
      <c r="G19" s="503">
        <f t="shared" si="1"/>
        <v>13500.04</v>
      </c>
      <c r="H19" s="503">
        <f t="shared" si="2"/>
        <v>0</v>
      </c>
      <c r="I19" s="504"/>
    </row>
    <row r="20" spans="1:9" s="330" customFormat="1" ht="12.75" customHeight="1" x14ac:dyDescent="0.25">
      <c r="A20" s="499"/>
      <c r="B20" s="500"/>
      <c r="C20" s="501"/>
      <c r="D20" s="502"/>
      <c r="E20" s="502">
        <f t="shared" si="0"/>
        <v>13500.04</v>
      </c>
      <c r="F20" s="503"/>
      <c r="G20" s="503">
        <f t="shared" si="1"/>
        <v>13500.04</v>
      </c>
      <c r="H20" s="503">
        <f t="shared" si="2"/>
        <v>0</v>
      </c>
      <c r="I20" s="504"/>
    </row>
    <row r="21" spans="1:9" s="330" customFormat="1" ht="12.75" customHeight="1" x14ac:dyDescent="0.25">
      <c r="A21" s="499"/>
      <c r="B21" s="500"/>
      <c r="C21" s="514"/>
      <c r="D21" s="502"/>
      <c r="E21" s="502">
        <f t="shared" si="0"/>
        <v>13500.04</v>
      </c>
      <c r="F21" s="503"/>
      <c r="G21" s="503">
        <f t="shared" si="1"/>
        <v>13500.04</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548">
        <f>SUM(D9:D22)</f>
        <v>13500.04</v>
      </c>
      <c r="E23" s="548"/>
      <c r="F23" s="548">
        <f>SUM(F9:F22)</f>
        <v>13500.04</v>
      </c>
      <c r="G23" s="548"/>
      <c r="H23" s="548">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812</v>
      </c>
      <c r="D26" s="503">
        <v>8026.2</v>
      </c>
      <c r="E26" s="503"/>
      <c r="F26" s="503">
        <f>8026.2</f>
        <v>8026.2</v>
      </c>
      <c r="G26" s="503"/>
      <c r="H26" s="503">
        <f>D26-F26</f>
        <v>0</v>
      </c>
      <c r="I26" s="504"/>
    </row>
    <row r="27" spans="1:9" s="330" customFormat="1" ht="12.75" customHeight="1" x14ac:dyDescent="0.25">
      <c r="A27" s="499"/>
      <c r="B27" s="501"/>
      <c r="C27" s="515" t="s">
        <v>813</v>
      </c>
      <c r="D27" s="503">
        <f>1900-333.11</f>
        <v>1566.8899999999999</v>
      </c>
      <c r="E27" s="503"/>
      <c r="F27" s="503">
        <f>1566.89</f>
        <v>1566.89</v>
      </c>
      <c r="G27" s="503"/>
      <c r="H27" s="503">
        <f>D27-F27</f>
        <v>0</v>
      </c>
      <c r="I27" s="504"/>
    </row>
    <row r="28" spans="1:9" s="330" customFormat="1" ht="12.75" customHeight="1" x14ac:dyDescent="0.25">
      <c r="A28" s="499"/>
      <c r="B28" s="501"/>
      <c r="C28" s="515" t="s">
        <v>814</v>
      </c>
      <c r="D28" s="503">
        <v>200</v>
      </c>
      <c r="E28" s="503"/>
      <c r="F28" s="503">
        <f>200</f>
        <v>200</v>
      </c>
      <c r="G28" s="503"/>
      <c r="H28" s="503">
        <f>D28-F28</f>
        <v>0</v>
      </c>
      <c r="I28" s="504"/>
    </row>
    <row r="29" spans="1:9" s="330" customFormat="1" ht="12.75" customHeight="1" x14ac:dyDescent="0.25">
      <c r="A29" s="499"/>
      <c r="B29" s="501"/>
      <c r="C29" s="515" t="s">
        <v>815</v>
      </c>
      <c r="D29" s="503">
        <v>646.12</v>
      </c>
      <c r="E29" s="503"/>
      <c r="F29" s="503">
        <f>646.12</f>
        <v>646.12</v>
      </c>
      <c r="G29" s="503"/>
      <c r="H29" s="503">
        <f>D29-F29</f>
        <v>0</v>
      </c>
      <c r="I29" s="504"/>
    </row>
    <row r="30" spans="1:9" s="330" customFormat="1" ht="12.75" customHeight="1" x14ac:dyDescent="0.25">
      <c r="A30" s="499"/>
      <c r="B30" s="501"/>
      <c r="C30" s="515" t="s">
        <v>301</v>
      </c>
      <c r="D30" s="503">
        <f>5550.92-2490.09</f>
        <v>3060.83</v>
      </c>
      <c r="E30" s="503"/>
      <c r="F30" s="503">
        <f>3060.83</f>
        <v>3060.83</v>
      </c>
      <c r="G30" s="503"/>
      <c r="H30" s="503">
        <f>D30-F30</f>
        <v>0</v>
      </c>
      <c r="I30" s="504"/>
    </row>
    <row r="31" spans="1:9" s="330" customFormat="1" ht="12.75" customHeight="1" thickBot="1" x14ac:dyDescent="0.3">
      <c r="A31" s="499"/>
      <c r="B31" s="501"/>
      <c r="C31" s="549" t="s">
        <v>555</v>
      </c>
      <c r="D31" s="548">
        <f>SUM(D26:D30)</f>
        <v>13500.04</v>
      </c>
      <c r="E31" s="549"/>
      <c r="F31" s="548">
        <f>SUM(F26:F30)</f>
        <v>13500.04</v>
      </c>
      <c r="G31" s="549"/>
      <c r="H31" s="548">
        <f>SUM(H26:H30)</f>
        <v>0</v>
      </c>
      <c r="I31" s="533"/>
    </row>
    <row r="32" spans="1:9" s="330" customFormat="1" ht="12.75" customHeight="1" thickTop="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pageSetUpPr fitToPage="1"/>
  </sheetPr>
  <dimension ref="A1:J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78" t="str">
        <f>'RECAP #9279.40'!B1</f>
        <v xml:space="preserve">HHS WRC Campus Utility Decentralization Phase 4 &amp; Fire Alarm Phase 3 </v>
      </c>
      <c r="B1" s="79"/>
      <c r="C1" s="6"/>
      <c r="D1" s="6"/>
      <c r="E1" s="6"/>
      <c r="F1" s="124"/>
      <c r="G1" s="124"/>
      <c r="H1" s="125"/>
      <c r="I1" s="125"/>
    </row>
    <row r="2" spans="1:10" ht="15.75" x14ac:dyDescent="0.25">
      <c r="A2" s="81" t="str">
        <f>'RECAP #9279.40'!B2</f>
        <v>Project # 9279.40</v>
      </c>
      <c r="B2" s="80"/>
      <c r="C2" s="6"/>
      <c r="D2" s="6"/>
      <c r="E2" s="6"/>
      <c r="F2" s="124"/>
      <c r="G2" s="124"/>
      <c r="H2" s="125"/>
      <c r="I2" s="125"/>
    </row>
    <row r="3" spans="1:10" ht="15.75" x14ac:dyDescent="0.25">
      <c r="A3" s="82" t="str">
        <f>'RECAP #9279.40'!B3</f>
        <v>Program code 927940</v>
      </c>
      <c r="B3" s="80"/>
      <c r="C3" s="6"/>
      <c r="D3" s="83" t="str">
        <f>'RECAP #9279.40'!E3</f>
        <v>Major Program 4B02</v>
      </c>
      <c r="E3" s="6"/>
      <c r="F3" s="124"/>
      <c r="G3" s="124"/>
      <c r="H3" s="125"/>
      <c r="I3" s="125"/>
    </row>
    <row r="4" spans="1:10" ht="15.75" x14ac:dyDescent="0.25">
      <c r="A4" s="109" t="s">
        <v>817</v>
      </c>
      <c r="B4" s="126"/>
      <c r="C4" s="127"/>
      <c r="D4" s="128" t="s">
        <v>276</v>
      </c>
      <c r="E4" s="124"/>
      <c r="F4" s="124"/>
      <c r="G4" s="124"/>
      <c r="H4" s="125"/>
      <c r="I4" s="125"/>
    </row>
    <row r="5" spans="1:10" ht="15.75" x14ac:dyDescent="0.25">
      <c r="A5" s="129" t="s">
        <v>109</v>
      </c>
      <c r="B5" s="130"/>
      <c r="C5" s="131"/>
      <c r="D5" s="132" t="s">
        <v>818</v>
      </c>
      <c r="E5" s="133"/>
      <c r="F5" s="134"/>
      <c r="G5" s="134"/>
      <c r="H5" s="130"/>
      <c r="I5" s="125"/>
    </row>
    <row r="6" spans="1:10" ht="15.75" x14ac:dyDescent="0.25">
      <c r="A6" s="86" t="str">
        <f>'RECAP #9279.40'!B6</f>
        <v>Project Manager - Jennifer K.</v>
      </c>
      <c r="B6" s="86"/>
      <c r="C6" s="135"/>
      <c r="D6" s="136" t="s">
        <v>810</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49</v>
      </c>
      <c r="B8" s="141" t="s">
        <v>4</v>
      </c>
      <c r="C8" s="142" t="s">
        <v>11</v>
      </c>
      <c r="D8" s="143" t="s">
        <v>50</v>
      </c>
      <c r="E8" s="143" t="s">
        <v>51</v>
      </c>
      <c r="F8" s="143" t="s">
        <v>52</v>
      </c>
      <c r="G8" s="143" t="s">
        <v>53</v>
      </c>
      <c r="H8" s="143" t="s">
        <v>12</v>
      </c>
      <c r="I8" s="194" t="s">
        <v>261</v>
      </c>
    </row>
    <row r="9" spans="1:10" s="330" customFormat="1" ht="12.75" customHeight="1" x14ac:dyDescent="0.25">
      <c r="A9" s="415" t="s">
        <v>819</v>
      </c>
      <c r="B9" s="480">
        <v>45812</v>
      </c>
      <c r="C9" s="417" t="s">
        <v>107</v>
      </c>
      <c r="D9" s="481">
        <v>886906</v>
      </c>
      <c r="E9" s="418">
        <f>D9</f>
        <v>886906</v>
      </c>
      <c r="F9" s="420"/>
      <c r="G9" s="420"/>
      <c r="H9" s="420">
        <f>E9</f>
        <v>886906</v>
      </c>
      <c r="I9" s="421"/>
      <c r="J9" s="421" t="s">
        <v>1015</v>
      </c>
    </row>
    <row r="10" spans="1:10" s="330" customFormat="1" ht="12.75" customHeight="1" x14ac:dyDescent="0.25">
      <c r="A10" s="408" t="s">
        <v>1023</v>
      </c>
      <c r="B10" s="409">
        <v>45889</v>
      </c>
      <c r="C10" s="410" t="s">
        <v>1017</v>
      </c>
      <c r="D10" s="411">
        <v>0</v>
      </c>
      <c r="E10" s="412">
        <f t="shared" ref="E10:E21" si="0">E9+D10</f>
        <v>886906</v>
      </c>
      <c r="F10" s="445"/>
      <c r="G10" s="413">
        <f t="shared" ref="G10:G21" si="1">G9+F10</f>
        <v>0</v>
      </c>
      <c r="H10" s="413">
        <f t="shared" ref="H10:H21" si="2">H9-F10+D10</f>
        <v>886906</v>
      </c>
      <c r="I10" s="414"/>
    </row>
    <row r="11" spans="1:10" s="330" customFormat="1" ht="12.75" customHeight="1" x14ac:dyDescent="0.25">
      <c r="A11" s="408" t="s">
        <v>1023</v>
      </c>
      <c r="B11" s="409">
        <v>45904</v>
      </c>
      <c r="C11" s="410" t="s">
        <v>301</v>
      </c>
      <c r="D11" s="411">
        <v>11519.76</v>
      </c>
      <c r="E11" s="412">
        <f t="shared" si="0"/>
        <v>898425.76</v>
      </c>
      <c r="F11" s="445"/>
      <c r="G11" s="413">
        <f t="shared" si="1"/>
        <v>0</v>
      </c>
      <c r="H11" s="413">
        <f t="shared" si="2"/>
        <v>898425.76</v>
      </c>
      <c r="I11" s="414"/>
    </row>
    <row r="12" spans="1:10" s="330" customFormat="1" ht="12.75" customHeight="1" x14ac:dyDescent="0.25">
      <c r="A12" s="408" t="s">
        <v>1395</v>
      </c>
      <c r="B12" s="409">
        <v>46001</v>
      </c>
      <c r="C12" s="410" t="s">
        <v>1396</v>
      </c>
      <c r="D12" s="411"/>
      <c r="E12" s="412">
        <f t="shared" si="0"/>
        <v>898425.76</v>
      </c>
      <c r="F12" s="445">
        <v>190012.79999999999</v>
      </c>
      <c r="G12" s="413">
        <f t="shared" si="1"/>
        <v>190012.79999999999</v>
      </c>
      <c r="H12" s="413">
        <f t="shared" si="2"/>
        <v>708412.96</v>
      </c>
      <c r="I12" s="482">
        <f>10000.7</f>
        <v>10000.700000000001</v>
      </c>
    </row>
    <row r="13" spans="1:10" s="330" customFormat="1" ht="12.75" customHeight="1" x14ac:dyDescent="0.25">
      <c r="A13" s="408" t="s">
        <v>1023</v>
      </c>
      <c r="B13" s="409">
        <v>46020</v>
      </c>
      <c r="C13" s="410" t="s">
        <v>403</v>
      </c>
      <c r="D13" s="411">
        <v>7535.98</v>
      </c>
      <c r="E13" s="412">
        <f t="shared" si="0"/>
        <v>905961.74</v>
      </c>
      <c r="F13" s="445"/>
      <c r="G13" s="413">
        <f t="shared" si="1"/>
        <v>190012.79999999999</v>
      </c>
      <c r="H13" s="413">
        <f t="shared" si="2"/>
        <v>715948.94</v>
      </c>
      <c r="I13" s="482"/>
    </row>
    <row r="14" spans="1:10" s="330" customFormat="1" ht="12.75" customHeight="1" x14ac:dyDescent="0.25">
      <c r="A14" s="408" t="s">
        <v>1688</v>
      </c>
      <c r="B14" s="409">
        <v>46099</v>
      </c>
      <c r="C14" s="410" t="s">
        <v>1689</v>
      </c>
      <c r="D14" s="412"/>
      <c r="E14" s="412">
        <f t="shared" si="0"/>
        <v>905961.74</v>
      </c>
      <c r="F14" s="445">
        <v>362346.34</v>
      </c>
      <c r="G14" s="413">
        <f t="shared" si="1"/>
        <v>552359.14</v>
      </c>
      <c r="H14" s="413">
        <f t="shared" si="2"/>
        <v>353602.59999999992</v>
      </c>
      <c r="I14" s="482">
        <f>I12+19070.9</f>
        <v>29071.600000000002</v>
      </c>
    </row>
    <row r="15" spans="1:10" s="330" customFormat="1" ht="12.75" customHeight="1" x14ac:dyDescent="0.25">
      <c r="A15" s="408" t="s">
        <v>1768</v>
      </c>
      <c r="B15" s="409">
        <v>46125</v>
      </c>
      <c r="C15" s="410" t="s">
        <v>1769</v>
      </c>
      <c r="D15" s="411"/>
      <c r="E15" s="412">
        <f t="shared" si="0"/>
        <v>905961.74</v>
      </c>
      <c r="F15" s="445">
        <v>201185.61</v>
      </c>
      <c r="G15" s="413">
        <f t="shared" si="1"/>
        <v>753544.75</v>
      </c>
      <c r="H15" s="413">
        <f t="shared" si="2"/>
        <v>152416.98999999993</v>
      </c>
      <c r="I15" s="482">
        <f>I14+10588.75</f>
        <v>39660.350000000006</v>
      </c>
    </row>
    <row r="16" spans="1:10" s="330" customFormat="1" ht="12.75" customHeight="1" x14ac:dyDescent="0.25">
      <c r="A16" s="408"/>
      <c r="B16" s="409"/>
      <c r="C16" s="410"/>
      <c r="D16" s="412"/>
      <c r="E16" s="412">
        <f t="shared" si="0"/>
        <v>905961.74</v>
      </c>
      <c r="F16" s="445"/>
      <c r="G16" s="413">
        <f t="shared" si="1"/>
        <v>753544.75</v>
      </c>
      <c r="H16" s="413">
        <f t="shared" si="2"/>
        <v>152416.98999999993</v>
      </c>
      <c r="I16" s="482"/>
    </row>
    <row r="17" spans="1:9" s="330" customFormat="1" ht="12.75" customHeight="1" x14ac:dyDescent="0.25">
      <c r="A17" s="408"/>
      <c r="B17" s="409"/>
      <c r="C17" s="410"/>
      <c r="D17" s="412"/>
      <c r="E17" s="412">
        <f t="shared" si="0"/>
        <v>905961.74</v>
      </c>
      <c r="F17" s="445"/>
      <c r="G17" s="413">
        <f t="shared" si="1"/>
        <v>753544.75</v>
      </c>
      <c r="H17" s="413">
        <f t="shared" si="2"/>
        <v>152416.98999999993</v>
      </c>
      <c r="I17" s="482"/>
    </row>
    <row r="18" spans="1:9" s="330" customFormat="1" ht="12.75" customHeight="1" x14ac:dyDescent="0.25">
      <c r="A18" s="408"/>
      <c r="B18" s="409"/>
      <c r="C18" s="410"/>
      <c r="D18" s="411"/>
      <c r="E18" s="412">
        <f t="shared" si="0"/>
        <v>905961.74</v>
      </c>
      <c r="F18" s="422"/>
      <c r="G18" s="413">
        <f t="shared" si="1"/>
        <v>753544.75</v>
      </c>
      <c r="H18" s="413">
        <f t="shared" si="2"/>
        <v>152416.98999999993</v>
      </c>
      <c r="I18" s="482"/>
    </row>
    <row r="19" spans="1:9" s="330" customFormat="1" ht="12.75" customHeight="1" x14ac:dyDescent="0.25">
      <c r="A19" s="408"/>
      <c r="B19" s="409"/>
      <c r="C19" s="410"/>
      <c r="D19" s="412"/>
      <c r="E19" s="412">
        <f t="shared" si="0"/>
        <v>905961.74</v>
      </c>
      <c r="F19" s="422"/>
      <c r="G19" s="413">
        <f t="shared" si="1"/>
        <v>753544.75</v>
      </c>
      <c r="H19" s="413">
        <f t="shared" si="2"/>
        <v>152416.98999999993</v>
      </c>
      <c r="I19" s="482"/>
    </row>
    <row r="20" spans="1:9" s="330" customFormat="1" ht="12.75" customHeight="1" x14ac:dyDescent="0.25">
      <c r="A20" s="408"/>
      <c r="B20" s="409"/>
      <c r="C20" s="410"/>
      <c r="D20" s="412"/>
      <c r="E20" s="412">
        <f t="shared" si="0"/>
        <v>905961.74</v>
      </c>
      <c r="F20" s="413"/>
      <c r="G20" s="413">
        <f t="shared" si="1"/>
        <v>753544.75</v>
      </c>
      <c r="H20" s="413">
        <f t="shared" si="2"/>
        <v>152416.98999999993</v>
      </c>
      <c r="I20" s="482"/>
    </row>
    <row r="21" spans="1:9" s="330" customFormat="1" ht="12.75" customHeight="1" x14ac:dyDescent="0.25">
      <c r="A21" s="408"/>
      <c r="B21" s="409"/>
      <c r="C21" s="423"/>
      <c r="D21" s="412"/>
      <c r="E21" s="412">
        <f t="shared" si="0"/>
        <v>905961.74</v>
      </c>
      <c r="F21" s="413"/>
      <c r="G21" s="413">
        <f t="shared" si="1"/>
        <v>753544.75</v>
      </c>
      <c r="H21" s="413">
        <f t="shared" si="2"/>
        <v>152416.98999999993</v>
      </c>
      <c r="I21" s="482"/>
    </row>
    <row r="22" spans="1:9" s="330" customFormat="1" ht="12.75" customHeight="1" x14ac:dyDescent="0.25">
      <c r="A22" s="408"/>
      <c r="B22" s="410"/>
      <c r="C22" s="425"/>
      <c r="D22" s="413"/>
      <c r="E22" s="413"/>
      <c r="F22" s="413"/>
      <c r="G22" s="413"/>
      <c r="H22" s="413"/>
      <c r="I22" s="414"/>
    </row>
    <row r="23" spans="1:9" ht="15.75" thickBot="1" x14ac:dyDescent="0.3">
      <c r="A23" s="144"/>
      <c r="B23" s="153"/>
      <c r="C23" s="154" t="s">
        <v>54</v>
      </c>
      <c r="D23" s="123">
        <f>SUM(D9:D22)</f>
        <v>905961.74</v>
      </c>
      <c r="E23" s="123"/>
      <c r="F23" s="123">
        <f>SUM(F9:F22)</f>
        <v>753544.75</v>
      </c>
      <c r="G23" s="123"/>
      <c r="H23" s="123">
        <f>D23-F23</f>
        <v>152416.99</v>
      </c>
      <c r="I23" s="149"/>
    </row>
    <row r="24" spans="1:9"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pageSetUpPr fitToPage="1"/>
  </sheetPr>
  <dimension ref="A1:J32"/>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5" customWidth="1"/>
    <col min="7" max="7" width="12" customWidth="1"/>
    <col min="8" max="8" width="14.42578125" customWidth="1"/>
    <col min="9" max="9" width="12.5703125" customWidth="1"/>
    <col min="10" max="10" width="6.140625" customWidth="1"/>
  </cols>
  <sheetData>
    <row r="1" spans="1:10" ht="15.75" x14ac:dyDescent="0.25">
      <c r="A1" s="78" t="str">
        <f>'RECAP #9279.40'!B1</f>
        <v xml:space="preserve">HHS WRC Campus Utility Decentralization Phase 4 &amp; Fire Alarm Phase 3 </v>
      </c>
      <c r="B1" s="79"/>
      <c r="C1" s="6"/>
      <c r="D1" s="6"/>
      <c r="E1" s="6"/>
      <c r="F1" s="124"/>
      <c r="G1" s="124"/>
      <c r="H1" s="125"/>
      <c r="I1" s="125"/>
      <c r="J1" s="125"/>
    </row>
    <row r="2" spans="1:10" ht="15.75" x14ac:dyDescent="0.25">
      <c r="A2" s="81" t="str">
        <f>'RECAP #9279.40'!B2</f>
        <v>Project # 9279.40</v>
      </c>
      <c r="B2" s="80"/>
      <c r="C2" s="6"/>
      <c r="D2" s="6"/>
      <c r="E2" s="6"/>
      <c r="F2" s="124"/>
      <c r="G2" s="124"/>
      <c r="H2" s="125"/>
      <c r="I2" s="125"/>
      <c r="J2" s="125"/>
    </row>
    <row r="3" spans="1:10" ht="15.75" x14ac:dyDescent="0.25">
      <c r="A3" s="82" t="str">
        <f>'RECAP #9279.40'!B3</f>
        <v>Program code 927940</v>
      </c>
      <c r="B3" s="80"/>
      <c r="C3" s="6"/>
      <c r="D3" s="83" t="str">
        <f>'RECAP #9279.40'!E3</f>
        <v>Major Program 4B02</v>
      </c>
      <c r="E3" s="6"/>
      <c r="F3" s="124"/>
      <c r="G3" s="124"/>
      <c r="H3" s="125"/>
      <c r="I3" s="125"/>
      <c r="J3" s="125"/>
    </row>
    <row r="4" spans="1:10" ht="15.75" x14ac:dyDescent="0.25">
      <c r="A4" s="109" t="s">
        <v>841</v>
      </c>
      <c r="B4" s="126"/>
      <c r="C4" s="127"/>
      <c r="D4" s="128" t="s">
        <v>842</v>
      </c>
      <c r="E4" s="124"/>
      <c r="F4" s="124"/>
      <c r="G4" s="124"/>
      <c r="H4" s="125"/>
      <c r="I4" s="125"/>
      <c r="J4" s="125"/>
    </row>
    <row r="5" spans="1:10" ht="15.75" x14ac:dyDescent="0.25">
      <c r="A5" s="129" t="s">
        <v>109</v>
      </c>
      <c r="B5" s="130"/>
      <c r="C5" s="131"/>
      <c r="D5" s="132" t="s">
        <v>818</v>
      </c>
      <c r="E5" s="133"/>
      <c r="F5" s="134"/>
      <c r="G5" s="134"/>
      <c r="H5" s="130"/>
      <c r="I5" s="125"/>
      <c r="J5" s="125"/>
    </row>
    <row r="6" spans="1:10" ht="15.75" x14ac:dyDescent="0.25">
      <c r="A6" s="86" t="str">
        <f>'RECAP #9279.40'!B6</f>
        <v>Project Manager - Jennifer K.</v>
      </c>
      <c r="B6" s="86"/>
      <c r="C6" s="135"/>
      <c r="D6" s="136" t="s">
        <v>810</v>
      </c>
      <c r="E6" s="137"/>
      <c r="F6" s="138"/>
      <c r="G6" s="134"/>
      <c r="H6" s="130"/>
      <c r="I6" s="125"/>
      <c r="J6" s="125"/>
    </row>
    <row r="7" spans="1:10" ht="15.75" x14ac:dyDescent="0.25">
      <c r="A7" s="125"/>
      <c r="B7" s="139"/>
      <c r="C7" s="139"/>
      <c r="D7" s="125"/>
      <c r="E7" s="138"/>
      <c r="F7" s="138"/>
      <c r="G7" s="134"/>
      <c r="H7" s="130"/>
      <c r="I7" s="125" t="s">
        <v>3</v>
      </c>
      <c r="J7" s="125"/>
    </row>
    <row r="8" spans="1:10" ht="32.25" thickBot="1" x14ac:dyDescent="0.3">
      <c r="A8" s="140" t="s">
        <v>49</v>
      </c>
      <c r="B8" s="141" t="s">
        <v>4</v>
      </c>
      <c r="C8" s="142" t="s">
        <v>11</v>
      </c>
      <c r="D8" s="143" t="s">
        <v>50</v>
      </c>
      <c r="E8" s="143" t="s">
        <v>51</v>
      </c>
      <c r="F8" s="143" t="s">
        <v>52</v>
      </c>
      <c r="G8" s="143" t="s">
        <v>53</v>
      </c>
      <c r="H8" s="143" t="s">
        <v>12</v>
      </c>
      <c r="I8" s="214" t="s">
        <v>261</v>
      </c>
      <c r="J8" s="125"/>
    </row>
    <row r="9" spans="1:10" s="330" customFormat="1" ht="12.75" customHeight="1" x14ac:dyDescent="0.25">
      <c r="A9" s="415" t="s">
        <v>843</v>
      </c>
      <c r="B9" s="480">
        <v>45820</v>
      </c>
      <c r="C9" s="417" t="s">
        <v>107</v>
      </c>
      <c r="D9" s="481">
        <v>3701587</v>
      </c>
      <c r="E9" s="418">
        <f>D9</f>
        <v>3701587</v>
      </c>
      <c r="F9" s="420"/>
      <c r="G9" s="420"/>
      <c r="H9" s="420">
        <f>E9</f>
        <v>3701587</v>
      </c>
      <c r="I9" s="421"/>
      <c r="J9" s="421" t="s">
        <v>1015</v>
      </c>
    </row>
    <row r="10" spans="1:10" s="330" customFormat="1" ht="12.75" customHeight="1" x14ac:dyDescent="0.25">
      <c r="A10" s="408" t="s">
        <v>1022</v>
      </c>
      <c r="B10" s="409">
        <v>45889</v>
      </c>
      <c r="C10" s="410" t="s">
        <v>1017</v>
      </c>
      <c r="D10" s="411">
        <v>0</v>
      </c>
      <c r="E10" s="412">
        <f t="shared" ref="E10:E21" si="0">E9+D10</f>
        <v>3701587</v>
      </c>
      <c r="F10" s="445"/>
      <c r="G10" s="413">
        <f t="shared" ref="G10:G21" si="1">G9+F10</f>
        <v>0</v>
      </c>
      <c r="H10" s="413">
        <f t="shared" ref="H10:H21" si="2">H9-F10+D10</f>
        <v>3701587</v>
      </c>
      <c r="I10" s="414"/>
      <c r="J10" s="414"/>
    </row>
    <row r="11" spans="1:10" s="330" customFormat="1" ht="12.75" customHeight="1" x14ac:dyDescent="0.25">
      <c r="A11" s="408" t="s">
        <v>1119</v>
      </c>
      <c r="B11" s="409">
        <v>45911</v>
      </c>
      <c r="C11" s="410" t="s">
        <v>1120</v>
      </c>
      <c r="D11" s="412"/>
      <c r="E11" s="412">
        <f t="shared" si="0"/>
        <v>3701587</v>
      </c>
      <c r="F11" s="445">
        <v>224200</v>
      </c>
      <c r="G11" s="413">
        <f t="shared" si="1"/>
        <v>224200</v>
      </c>
      <c r="H11" s="413">
        <f t="shared" si="2"/>
        <v>3477387</v>
      </c>
      <c r="I11" s="482">
        <v>11800</v>
      </c>
      <c r="J11" s="414"/>
    </row>
    <row r="12" spans="1:10" s="330" customFormat="1" ht="12.75" customHeight="1" x14ac:dyDescent="0.25">
      <c r="A12" s="408" t="s">
        <v>1216</v>
      </c>
      <c r="B12" s="409">
        <v>45930</v>
      </c>
      <c r="C12" s="410" t="s">
        <v>1217</v>
      </c>
      <c r="D12" s="412"/>
      <c r="E12" s="412">
        <f t="shared" si="0"/>
        <v>3701587</v>
      </c>
      <c r="F12" s="445">
        <v>173755</v>
      </c>
      <c r="G12" s="413">
        <f t="shared" si="1"/>
        <v>397955</v>
      </c>
      <c r="H12" s="413">
        <f t="shared" si="2"/>
        <v>3303632</v>
      </c>
      <c r="I12" s="482">
        <f>I11+9145</f>
        <v>20945</v>
      </c>
      <c r="J12" s="414"/>
    </row>
    <row r="13" spans="1:10" s="330" customFormat="1" ht="12.75" customHeight="1" x14ac:dyDescent="0.25">
      <c r="A13" s="408" t="s">
        <v>1022</v>
      </c>
      <c r="B13" s="409">
        <v>45943</v>
      </c>
      <c r="C13" s="410" t="s">
        <v>301</v>
      </c>
      <c r="D13" s="411">
        <v>2088.5</v>
      </c>
      <c r="E13" s="412">
        <f t="shared" si="0"/>
        <v>3703675.5</v>
      </c>
      <c r="F13" s="445"/>
      <c r="G13" s="413">
        <f t="shared" si="1"/>
        <v>397955</v>
      </c>
      <c r="H13" s="413">
        <f t="shared" si="2"/>
        <v>3305720.5</v>
      </c>
      <c r="I13" s="482"/>
      <c r="J13" s="414"/>
    </row>
    <row r="14" spans="1:10" s="330" customFormat="1" ht="12.75" customHeight="1" x14ac:dyDescent="0.25">
      <c r="A14" s="408" t="s">
        <v>1293</v>
      </c>
      <c r="B14" s="409">
        <v>45954</v>
      </c>
      <c r="C14" s="410" t="s">
        <v>1294</v>
      </c>
      <c r="D14" s="412"/>
      <c r="E14" s="412">
        <f t="shared" si="0"/>
        <v>3703675.5</v>
      </c>
      <c r="F14" s="445">
        <v>414165.16</v>
      </c>
      <c r="G14" s="413">
        <f t="shared" si="1"/>
        <v>812120.15999999992</v>
      </c>
      <c r="H14" s="413">
        <f t="shared" si="2"/>
        <v>2891555.34</v>
      </c>
      <c r="I14" s="482">
        <f>I12+21798.17</f>
        <v>42743.17</v>
      </c>
      <c r="J14" s="414"/>
    </row>
    <row r="15" spans="1:10" s="330" customFormat="1" ht="12.75" customHeight="1" x14ac:dyDescent="0.25">
      <c r="A15" s="408" t="s">
        <v>1365</v>
      </c>
      <c r="B15" s="409">
        <v>45981</v>
      </c>
      <c r="C15" s="410" t="s">
        <v>1366</v>
      </c>
      <c r="D15" s="411"/>
      <c r="E15" s="412">
        <f t="shared" si="0"/>
        <v>3703675.5</v>
      </c>
      <c r="F15" s="445">
        <v>701870.45</v>
      </c>
      <c r="G15" s="413">
        <f t="shared" si="1"/>
        <v>1513990.6099999999</v>
      </c>
      <c r="H15" s="413">
        <f t="shared" si="2"/>
        <v>2189684.8899999997</v>
      </c>
      <c r="I15" s="482">
        <f>I14+36940.55</f>
        <v>79683.72</v>
      </c>
      <c r="J15" s="414"/>
    </row>
    <row r="16" spans="1:10" s="330" customFormat="1" ht="12.75" customHeight="1" x14ac:dyDescent="0.25">
      <c r="A16" s="408" t="s">
        <v>1489</v>
      </c>
      <c r="B16" s="409">
        <v>46038</v>
      </c>
      <c r="C16" s="410" t="s">
        <v>1490</v>
      </c>
      <c r="D16" s="412"/>
      <c r="E16" s="412">
        <f t="shared" si="0"/>
        <v>3703675.5</v>
      </c>
      <c r="F16" s="445">
        <v>542089.94999999995</v>
      </c>
      <c r="G16" s="413">
        <f t="shared" si="1"/>
        <v>2056080.5599999998</v>
      </c>
      <c r="H16" s="413">
        <f t="shared" si="2"/>
        <v>1647594.9399999997</v>
      </c>
      <c r="I16" s="482">
        <f>I15+28531.05</f>
        <v>108214.77</v>
      </c>
      <c r="J16" s="414"/>
    </row>
    <row r="17" spans="1:10" s="330" customFormat="1" ht="12.75" customHeight="1" x14ac:dyDescent="0.25">
      <c r="A17" s="408" t="s">
        <v>1638</v>
      </c>
      <c r="B17" s="409">
        <v>46078</v>
      </c>
      <c r="C17" s="410" t="s">
        <v>1639</v>
      </c>
      <c r="D17" s="412"/>
      <c r="E17" s="412">
        <f t="shared" si="0"/>
        <v>3703675.5</v>
      </c>
      <c r="F17" s="445">
        <v>472106.62</v>
      </c>
      <c r="G17" s="413">
        <f t="shared" si="1"/>
        <v>2528187.1799999997</v>
      </c>
      <c r="H17" s="413">
        <f t="shared" si="2"/>
        <v>1175488.3199999998</v>
      </c>
      <c r="I17" s="482">
        <f>I16+24847.72</f>
        <v>133062.49</v>
      </c>
      <c r="J17" s="414"/>
    </row>
    <row r="18" spans="1:10" s="330" customFormat="1" ht="12.75" customHeight="1" x14ac:dyDescent="0.25">
      <c r="A18" s="408" t="s">
        <v>1721</v>
      </c>
      <c r="B18" s="409">
        <v>46108</v>
      </c>
      <c r="C18" s="410" t="s">
        <v>1722</v>
      </c>
      <c r="D18" s="411"/>
      <c r="E18" s="412">
        <f t="shared" si="0"/>
        <v>3703675.5</v>
      </c>
      <c r="F18" s="445">
        <v>284984.09000000003</v>
      </c>
      <c r="G18" s="413">
        <f t="shared" si="1"/>
        <v>2813171.2699999996</v>
      </c>
      <c r="H18" s="413">
        <f t="shared" si="2"/>
        <v>890504.22999999975</v>
      </c>
      <c r="I18" s="482">
        <f>I17+14999.16</f>
        <v>148061.65</v>
      </c>
      <c r="J18" s="414"/>
    </row>
    <row r="19" spans="1:10" s="330" customFormat="1" ht="12.75" customHeight="1" x14ac:dyDescent="0.25">
      <c r="A19" s="408" t="s">
        <v>1022</v>
      </c>
      <c r="B19" s="409">
        <v>46111</v>
      </c>
      <c r="C19" s="410" t="s">
        <v>403</v>
      </c>
      <c r="D19" s="411">
        <v>10907</v>
      </c>
      <c r="E19" s="412">
        <f t="shared" si="0"/>
        <v>3714582.5</v>
      </c>
      <c r="F19" s="422"/>
      <c r="G19" s="413">
        <f t="shared" si="1"/>
        <v>2813171.2699999996</v>
      </c>
      <c r="H19" s="413">
        <f t="shared" si="2"/>
        <v>901411.22999999975</v>
      </c>
      <c r="I19" s="482"/>
      <c r="J19" s="414"/>
    </row>
    <row r="20" spans="1:10" s="330" customFormat="1" ht="12.75" customHeight="1" x14ac:dyDescent="0.25">
      <c r="A20" s="408"/>
      <c r="B20" s="409"/>
      <c r="C20" s="410"/>
      <c r="D20" s="412"/>
      <c r="E20" s="412">
        <f t="shared" si="0"/>
        <v>3714582.5</v>
      </c>
      <c r="F20" s="413"/>
      <c r="G20" s="413">
        <f t="shared" si="1"/>
        <v>2813171.2699999996</v>
      </c>
      <c r="H20" s="413">
        <f t="shared" si="2"/>
        <v>901411.22999999975</v>
      </c>
      <c r="I20" s="482"/>
      <c r="J20" s="414"/>
    </row>
    <row r="21" spans="1:10" s="330" customFormat="1" ht="12.75" customHeight="1" x14ac:dyDescent="0.25">
      <c r="A21" s="408"/>
      <c r="B21" s="409"/>
      <c r="C21" s="423"/>
      <c r="D21" s="412"/>
      <c r="E21" s="412">
        <f t="shared" si="0"/>
        <v>3714582.5</v>
      </c>
      <c r="F21" s="413"/>
      <c r="G21" s="413">
        <f t="shared" si="1"/>
        <v>2813171.2699999996</v>
      </c>
      <c r="H21" s="413">
        <f t="shared" si="2"/>
        <v>901411.22999999975</v>
      </c>
      <c r="I21" s="482"/>
      <c r="J21" s="414"/>
    </row>
    <row r="22" spans="1:10" s="330" customFormat="1" ht="12.75" customHeight="1" x14ac:dyDescent="0.25">
      <c r="A22" s="408"/>
      <c r="B22" s="410"/>
      <c r="C22" s="425"/>
      <c r="D22" s="413"/>
      <c r="E22" s="413"/>
      <c r="F22" s="413"/>
      <c r="G22" s="413"/>
      <c r="H22" s="413"/>
      <c r="I22" s="482"/>
      <c r="J22" s="414"/>
    </row>
    <row r="23" spans="1:10" s="330" customFormat="1" ht="12.75" customHeight="1" thickBot="1" x14ac:dyDescent="0.3">
      <c r="A23" s="408"/>
      <c r="B23" s="449"/>
      <c r="C23" s="450" t="s">
        <v>54</v>
      </c>
      <c r="D23" s="426">
        <f>SUM(D9:D22)</f>
        <v>3714582.5</v>
      </c>
      <c r="E23" s="426"/>
      <c r="F23" s="426">
        <f>SUM(F9:F22)</f>
        <v>2813171.2699999996</v>
      </c>
      <c r="G23" s="426"/>
      <c r="H23" s="426">
        <f>D23-F23</f>
        <v>901411.23000000045</v>
      </c>
      <c r="I23" s="414"/>
      <c r="J23" s="41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pageSetUpPr fitToPage="1"/>
  </sheetPr>
  <dimension ref="A1:I25"/>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4.425781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855</v>
      </c>
      <c r="B4" s="126"/>
      <c r="C4" s="127"/>
      <c r="D4" s="128" t="s">
        <v>380</v>
      </c>
      <c r="E4" s="124"/>
      <c r="F4" s="124"/>
      <c r="G4" s="124"/>
      <c r="H4" s="125"/>
      <c r="I4" s="125"/>
    </row>
    <row r="5" spans="1:9" ht="15.75" x14ac:dyDescent="0.25">
      <c r="A5" s="129" t="s">
        <v>109</v>
      </c>
      <c r="B5" s="130"/>
      <c r="C5" s="131"/>
      <c r="D5" s="132" t="s">
        <v>856</v>
      </c>
      <c r="E5" s="133"/>
      <c r="F5" s="134"/>
      <c r="G5" s="134"/>
      <c r="H5" s="130"/>
      <c r="I5" s="125"/>
    </row>
    <row r="6" spans="1:9" ht="15.75" x14ac:dyDescent="0.25">
      <c r="A6" s="86" t="str">
        <f>'RECAP #9279.40'!B6</f>
        <v>Project Manager - Jennifer K.</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857</v>
      </c>
      <c r="B9" s="409">
        <v>45826</v>
      </c>
      <c r="C9" s="410" t="s">
        <v>703</v>
      </c>
      <c r="D9" s="411">
        <v>14865</v>
      </c>
      <c r="E9" s="412">
        <f>D9</f>
        <v>14865</v>
      </c>
      <c r="F9" s="413"/>
      <c r="G9" s="413"/>
      <c r="H9" s="413">
        <f>E9</f>
        <v>14865</v>
      </c>
      <c r="I9" s="414"/>
    </row>
    <row r="10" spans="1:9" s="330" customFormat="1" ht="12.75" customHeight="1" x14ac:dyDescent="0.25">
      <c r="A10" s="415" t="s">
        <v>918</v>
      </c>
      <c r="B10" s="416">
        <v>45841</v>
      </c>
      <c r="C10" s="417" t="s">
        <v>919</v>
      </c>
      <c r="D10" s="418"/>
      <c r="E10" s="418">
        <f t="shared" ref="E10:E21" si="0">E9+D10</f>
        <v>14865</v>
      </c>
      <c r="F10" s="419">
        <v>7880</v>
      </c>
      <c r="G10" s="420">
        <f t="shared" ref="G10:G21" si="1">G9+F10</f>
        <v>7880</v>
      </c>
      <c r="H10" s="420">
        <f t="shared" ref="H10:H21" si="2">H9-F10+D10</f>
        <v>6985</v>
      </c>
      <c r="I10" s="421" t="s">
        <v>1015</v>
      </c>
    </row>
    <row r="11" spans="1:9" s="330" customFormat="1" ht="12.75" customHeight="1" x14ac:dyDescent="0.25">
      <c r="A11" s="408" t="s">
        <v>1021</v>
      </c>
      <c r="B11" s="409">
        <v>45889</v>
      </c>
      <c r="C11" s="410" t="s">
        <v>1017</v>
      </c>
      <c r="D11" s="411">
        <v>0</v>
      </c>
      <c r="E11" s="412">
        <f t="shared" si="0"/>
        <v>14865</v>
      </c>
      <c r="F11" s="445"/>
      <c r="G11" s="413">
        <f t="shared" si="1"/>
        <v>7880</v>
      </c>
      <c r="H11" s="413">
        <f t="shared" si="2"/>
        <v>6985</v>
      </c>
      <c r="I11" s="492"/>
    </row>
    <row r="12" spans="1:9" s="330" customFormat="1" ht="12.75" customHeight="1" x14ac:dyDescent="0.25">
      <c r="A12" s="408"/>
      <c r="B12" s="493"/>
      <c r="C12" s="410"/>
      <c r="D12" s="412"/>
      <c r="E12" s="412">
        <f t="shared" si="0"/>
        <v>14865</v>
      </c>
      <c r="F12" s="445"/>
      <c r="G12" s="413">
        <f t="shared" si="1"/>
        <v>7880</v>
      </c>
      <c r="H12" s="413">
        <f t="shared" si="2"/>
        <v>6985</v>
      </c>
      <c r="I12" s="414"/>
    </row>
    <row r="13" spans="1:9" s="330" customFormat="1" ht="12.75" customHeight="1" x14ac:dyDescent="0.25">
      <c r="A13" s="408"/>
      <c r="B13" s="409"/>
      <c r="C13" s="410"/>
      <c r="D13" s="412"/>
      <c r="E13" s="412">
        <f t="shared" si="0"/>
        <v>14865</v>
      </c>
      <c r="F13" s="445"/>
      <c r="G13" s="413">
        <f t="shared" si="1"/>
        <v>7880</v>
      </c>
      <c r="H13" s="413">
        <f t="shared" si="2"/>
        <v>6985</v>
      </c>
      <c r="I13" s="414"/>
    </row>
    <row r="14" spans="1:9" s="330" customFormat="1" ht="12.75" customHeight="1" x14ac:dyDescent="0.25">
      <c r="A14" s="408"/>
      <c r="B14" s="409"/>
      <c r="C14" s="410"/>
      <c r="D14" s="412"/>
      <c r="E14" s="412">
        <f t="shared" si="0"/>
        <v>14865</v>
      </c>
      <c r="F14" s="445"/>
      <c r="G14" s="413">
        <f t="shared" si="1"/>
        <v>7880</v>
      </c>
      <c r="H14" s="413">
        <f t="shared" si="2"/>
        <v>6985</v>
      </c>
      <c r="I14" s="414"/>
    </row>
    <row r="15" spans="1:9" s="330" customFormat="1" ht="12.75" customHeight="1" x14ac:dyDescent="0.25">
      <c r="A15" s="408"/>
      <c r="B15" s="409"/>
      <c r="C15" s="410"/>
      <c r="D15" s="411"/>
      <c r="E15" s="412">
        <f t="shared" si="0"/>
        <v>14865</v>
      </c>
      <c r="F15" s="422"/>
      <c r="G15" s="413">
        <f t="shared" si="1"/>
        <v>7880</v>
      </c>
      <c r="H15" s="413">
        <f t="shared" si="2"/>
        <v>6985</v>
      </c>
      <c r="I15" s="414"/>
    </row>
    <row r="16" spans="1:9" s="330" customFormat="1" ht="12.75" customHeight="1" x14ac:dyDescent="0.25">
      <c r="A16" s="408"/>
      <c r="B16" s="409"/>
      <c r="C16" s="410"/>
      <c r="D16" s="412"/>
      <c r="E16" s="412">
        <f t="shared" si="0"/>
        <v>14865</v>
      </c>
      <c r="F16" s="445"/>
      <c r="G16" s="413">
        <f t="shared" si="1"/>
        <v>7880</v>
      </c>
      <c r="H16" s="413">
        <f t="shared" si="2"/>
        <v>6985</v>
      </c>
      <c r="I16" s="414"/>
    </row>
    <row r="17" spans="1:9" s="330" customFormat="1" ht="12.75" customHeight="1" x14ac:dyDescent="0.25">
      <c r="A17" s="408"/>
      <c r="B17" s="409"/>
      <c r="C17" s="410"/>
      <c r="D17" s="412"/>
      <c r="E17" s="412">
        <f t="shared" si="0"/>
        <v>14865</v>
      </c>
      <c r="F17" s="445"/>
      <c r="G17" s="413">
        <f t="shared" si="1"/>
        <v>7880</v>
      </c>
      <c r="H17" s="413">
        <f t="shared" si="2"/>
        <v>6985</v>
      </c>
      <c r="I17" s="414"/>
    </row>
    <row r="18" spans="1:9" s="330" customFormat="1" ht="12.75" customHeight="1" x14ac:dyDescent="0.25">
      <c r="A18" s="408"/>
      <c r="B18" s="409"/>
      <c r="C18" s="410"/>
      <c r="D18" s="411"/>
      <c r="E18" s="412">
        <f t="shared" si="0"/>
        <v>14865</v>
      </c>
      <c r="F18" s="422"/>
      <c r="G18" s="413">
        <f t="shared" si="1"/>
        <v>7880</v>
      </c>
      <c r="H18" s="413">
        <f t="shared" si="2"/>
        <v>6985</v>
      </c>
      <c r="I18" s="414"/>
    </row>
    <row r="19" spans="1:9" s="330" customFormat="1" ht="12.75" customHeight="1" x14ac:dyDescent="0.25">
      <c r="A19" s="408"/>
      <c r="B19" s="409"/>
      <c r="C19" s="410"/>
      <c r="D19" s="412"/>
      <c r="E19" s="412">
        <f t="shared" si="0"/>
        <v>14865</v>
      </c>
      <c r="F19" s="422"/>
      <c r="G19" s="413">
        <f t="shared" si="1"/>
        <v>7880</v>
      </c>
      <c r="H19" s="413">
        <f t="shared" si="2"/>
        <v>6985</v>
      </c>
      <c r="I19" s="414"/>
    </row>
    <row r="20" spans="1:9" s="330" customFormat="1" ht="12.75" customHeight="1" x14ac:dyDescent="0.25">
      <c r="A20" s="408"/>
      <c r="B20" s="409"/>
      <c r="C20" s="410"/>
      <c r="D20" s="412"/>
      <c r="E20" s="412">
        <f t="shared" si="0"/>
        <v>14865</v>
      </c>
      <c r="F20" s="413"/>
      <c r="G20" s="413">
        <f t="shared" si="1"/>
        <v>7880</v>
      </c>
      <c r="H20" s="413">
        <f t="shared" si="2"/>
        <v>6985</v>
      </c>
      <c r="I20" s="414"/>
    </row>
    <row r="21" spans="1:9" s="330" customFormat="1" ht="12.75" customHeight="1" x14ac:dyDescent="0.25">
      <c r="A21" s="408"/>
      <c r="B21" s="409"/>
      <c r="C21" s="423"/>
      <c r="D21" s="412"/>
      <c r="E21" s="412">
        <f t="shared" si="0"/>
        <v>14865</v>
      </c>
      <c r="F21" s="413"/>
      <c r="G21" s="413">
        <f t="shared" si="1"/>
        <v>7880</v>
      </c>
      <c r="H21" s="413">
        <f t="shared" si="2"/>
        <v>6985</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14865</v>
      </c>
      <c r="E23" s="426"/>
      <c r="F23" s="426">
        <f>SUM(F9:F22)</f>
        <v>7880</v>
      </c>
      <c r="G23" s="426"/>
      <c r="H23" s="426">
        <f>D23-F23</f>
        <v>6985</v>
      </c>
      <c r="I23" s="414"/>
    </row>
    <row r="24" spans="1:9" s="330" customFormat="1" ht="12.75" customHeight="1" thickTop="1" x14ac:dyDescent="0.25"/>
    <row r="25" spans="1:9"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pageSetUpPr fitToPage="1"/>
  </sheetPr>
  <dimension ref="A1:J29"/>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7" customWidth="1"/>
    <col min="5" max="5" width="13.5703125" customWidth="1"/>
    <col min="6" max="6" width="12.42578125" customWidth="1"/>
    <col min="7" max="7" width="10.5703125" customWidth="1"/>
    <col min="8" max="8" width="14.42578125" customWidth="1"/>
    <col min="9" max="9" width="13.5703125" customWidth="1"/>
    <col min="10" max="10" width="5.140625" customWidth="1"/>
  </cols>
  <sheetData>
    <row r="1" spans="1:10" ht="15.75" x14ac:dyDescent="0.25">
      <c r="A1" s="78" t="str">
        <f>'RECAP #9279.40'!B1</f>
        <v xml:space="preserve">HHS WRC Campus Utility Decentralization Phase 4 &amp; Fire Alarm Phase 3 </v>
      </c>
      <c r="B1" s="79"/>
      <c r="C1" s="6"/>
      <c r="D1" s="6"/>
      <c r="E1" s="6"/>
      <c r="F1" s="124"/>
      <c r="G1" s="124"/>
      <c r="H1" s="125"/>
      <c r="I1" s="125"/>
      <c r="J1" s="125"/>
    </row>
    <row r="2" spans="1:10" ht="15.75" x14ac:dyDescent="0.25">
      <c r="A2" s="81" t="str">
        <f>'RECAP #9279.40'!B2</f>
        <v>Project # 9279.40</v>
      </c>
      <c r="B2" s="80"/>
      <c r="C2" s="6"/>
      <c r="D2" s="6"/>
      <c r="E2" s="6"/>
      <c r="F2" s="124"/>
      <c r="G2" s="124"/>
      <c r="H2" s="125"/>
      <c r="I2" s="125"/>
      <c r="J2" s="125"/>
    </row>
    <row r="3" spans="1:10" ht="15.75" x14ac:dyDescent="0.25">
      <c r="A3" s="82" t="str">
        <f>'RECAP #9279.40'!B3</f>
        <v>Program code 927940</v>
      </c>
      <c r="B3" s="80"/>
      <c r="C3" s="6"/>
      <c r="D3" s="83" t="str">
        <f>'RECAP #9279.40'!E3</f>
        <v>Major Program 4B02</v>
      </c>
      <c r="E3" s="6"/>
      <c r="F3" s="124"/>
      <c r="G3" s="124"/>
      <c r="H3" s="125"/>
      <c r="I3" s="125"/>
      <c r="J3" s="125"/>
    </row>
    <row r="4" spans="1:10" ht="15.75" x14ac:dyDescent="0.25">
      <c r="A4" s="109" t="s">
        <v>858</v>
      </c>
      <c r="B4" s="126"/>
      <c r="C4" s="127"/>
      <c r="D4" s="128" t="s">
        <v>859</v>
      </c>
      <c r="E4" s="124"/>
      <c r="F4" s="124"/>
      <c r="G4" s="124"/>
      <c r="H4" s="125"/>
      <c r="I4" s="125"/>
      <c r="J4" s="125"/>
    </row>
    <row r="5" spans="1:10" ht="15.75" x14ac:dyDescent="0.25">
      <c r="A5" s="129" t="s">
        <v>109</v>
      </c>
      <c r="B5" s="130"/>
      <c r="C5" s="131"/>
      <c r="D5" s="132" t="s">
        <v>860</v>
      </c>
      <c r="E5" s="133"/>
      <c r="F5" s="134"/>
      <c r="G5" s="134"/>
      <c r="H5" s="130"/>
      <c r="I5" s="125"/>
      <c r="J5" s="125"/>
    </row>
    <row r="6" spans="1:10" ht="15.75" x14ac:dyDescent="0.25">
      <c r="A6" s="86" t="str">
        <f>'RECAP #9279.40'!B6</f>
        <v>Project Manager - Jennifer K.</v>
      </c>
      <c r="B6" s="86"/>
      <c r="C6" s="135"/>
      <c r="D6" s="136" t="s">
        <v>861</v>
      </c>
      <c r="E6" s="137"/>
      <c r="F6" s="138"/>
      <c r="G6" s="134"/>
      <c r="H6" s="130"/>
      <c r="I6" s="125"/>
      <c r="J6" s="125"/>
    </row>
    <row r="7" spans="1:10" ht="15.75" x14ac:dyDescent="0.25">
      <c r="A7" s="125"/>
      <c r="B7" s="139"/>
      <c r="C7" s="139"/>
      <c r="D7" s="125" t="s">
        <v>862</v>
      </c>
      <c r="E7" s="138"/>
      <c r="F7" s="138"/>
      <c r="G7" s="134"/>
      <c r="H7" s="130"/>
      <c r="I7" s="125" t="s">
        <v>3</v>
      </c>
      <c r="J7" s="125"/>
    </row>
    <row r="8" spans="1:10" ht="32.25" thickBot="1" x14ac:dyDescent="0.3">
      <c r="A8" s="140" t="s">
        <v>49</v>
      </c>
      <c r="B8" s="141" t="s">
        <v>4</v>
      </c>
      <c r="C8" s="142" t="s">
        <v>11</v>
      </c>
      <c r="D8" s="143" t="s">
        <v>50</v>
      </c>
      <c r="E8" s="143" t="s">
        <v>51</v>
      </c>
      <c r="F8" s="143" t="s">
        <v>52</v>
      </c>
      <c r="G8" s="143" t="s">
        <v>53</v>
      </c>
      <c r="H8" s="143" t="s">
        <v>12</v>
      </c>
      <c r="I8" s="214" t="s">
        <v>261</v>
      </c>
      <c r="J8" s="125"/>
    </row>
    <row r="9" spans="1:10" s="330" customFormat="1" ht="12.75" customHeight="1" x14ac:dyDescent="0.25">
      <c r="A9" s="415" t="s">
        <v>863</v>
      </c>
      <c r="B9" s="480">
        <v>45826</v>
      </c>
      <c r="C9" s="417" t="s">
        <v>107</v>
      </c>
      <c r="D9" s="481">
        <v>146831</v>
      </c>
      <c r="E9" s="418">
        <f>D9</f>
        <v>146831</v>
      </c>
      <c r="F9" s="420"/>
      <c r="G9" s="420"/>
      <c r="H9" s="420">
        <f>E9</f>
        <v>146831</v>
      </c>
      <c r="I9" s="421"/>
      <c r="J9" s="421" t="s">
        <v>1015</v>
      </c>
    </row>
    <row r="10" spans="1:10" s="330" customFormat="1" ht="12.75" customHeight="1" x14ac:dyDescent="0.25">
      <c r="A10" s="408" t="s">
        <v>1016</v>
      </c>
      <c r="B10" s="409">
        <v>45887</v>
      </c>
      <c r="C10" s="410" t="s">
        <v>1017</v>
      </c>
      <c r="D10" s="494">
        <v>0</v>
      </c>
      <c r="E10" s="412">
        <f t="shared" ref="E10:E20" si="0">E9+D10</f>
        <v>146831</v>
      </c>
      <c r="F10" s="445"/>
      <c r="G10" s="413">
        <f t="shared" ref="G10:G20" si="1">G9+F10</f>
        <v>0</v>
      </c>
      <c r="H10" s="413">
        <f t="shared" ref="H10:H20" si="2">H9-F10+D10</f>
        <v>146831</v>
      </c>
      <c r="I10" s="414"/>
      <c r="J10" s="414"/>
    </row>
    <row r="11" spans="1:10" s="330" customFormat="1" ht="12.75" customHeight="1" x14ac:dyDescent="0.25">
      <c r="A11" s="408" t="s">
        <v>1121</v>
      </c>
      <c r="B11" s="409">
        <v>45911</v>
      </c>
      <c r="C11" s="410" t="s">
        <v>1122</v>
      </c>
      <c r="D11" s="412"/>
      <c r="E11" s="412">
        <f t="shared" si="0"/>
        <v>146831</v>
      </c>
      <c r="F11" s="445">
        <v>0</v>
      </c>
      <c r="G11" s="413">
        <f t="shared" si="1"/>
        <v>0</v>
      </c>
      <c r="H11" s="413">
        <f t="shared" si="2"/>
        <v>146831</v>
      </c>
      <c r="I11" s="482"/>
      <c r="J11" s="414"/>
    </row>
    <row r="12" spans="1:10" s="330" customFormat="1" ht="12.75" customHeight="1" x14ac:dyDescent="0.25">
      <c r="A12" s="408" t="s">
        <v>1186</v>
      </c>
      <c r="B12" s="409">
        <v>45919</v>
      </c>
      <c r="C12" s="410" t="s">
        <v>1187</v>
      </c>
      <c r="D12" s="412"/>
      <c r="E12" s="412">
        <f t="shared" si="0"/>
        <v>146831</v>
      </c>
      <c r="F12" s="445">
        <v>0</v>
      </c>
      <c r="G12" s="413">
        <f t="shared" si="1"/>
        <v>0</v>
      </c>
      <c r="H12" s="413">
        <f t="shared" si="2"/>
        <v>146831</v>
      </c>
      <c r="I12" s="482"/>
      <c r="J12" s="414"/>
    </row>
    <row r="13" spans="1:10" s="330" customFormat="1" ht="12.75" customHeight="1" x14ac:dyDescent="0.25">
      <c r="A13" s="408" t="s">
        <v>1375</v>
      </c>
      <c r="B13" s="409">
        <v>45994</v>
      </c>
      <c r="C13" s="410" t="s">
        <v>1376</v>
      </c>
      <c r="D13" s="412"/>
      <c r="E13" s="412">
        <f t="shared" si="0"/>
        <v>146831</v>
      </c>
      <c r="F13" s="445">
        <v>0</v>
      </c>
      <c r="G13" s="413">
        <f t="shared" si="1"/>
        <v>0</v>
      </c>
      <c r="H13" s="413">
        <f t="shared" si="2"/>
        <v>146831</v>
      </c>
      <c r="I13" s="482"/>
      <c r="J13" s="414"/>
    </row>
    <row r="14" spans="1:10" s="330" customFormat="1" ht="12.75" customHeight="1" x14ac:dyDescent="0.25">
      <c r="A14" s="408" t="s">
        <v>1016</v>
      </c>
      <c r="B14" s="409">
        <v>46008</v>
      </c>
      <c r="C14" s="410" t="s">
        <v>1422</v>
      </c>
      <c r="D14" s="411">
        <v>6118.83</v>
      </c>
      <c r="E14" s="412">
        <f t="shared" si="0"/>
        <v>152949.82999999999</v>
      </c>
      <c r="F14" s="422"/>
      <c r="G14" s="413">
        <f t="shared" si="1"/>
        <v>0</v>
      </c>
      <c r="H14" s="413">
        <f t="shared" si="2"/>
        <v>152949.82999999999</v>
      </c>
      <c r="I14" s="482"/>
      <c r="J14" s="414"/>
    </row>
    <row r="15" spans="1:10" s="330" customFormat="1" ht="12.75" customHeight="1" x14ac:dyDescent="0.25">
      <c r="A15" s="408" t="s">
        <v>1485</v>
      </c>
      <c r="B15" s="409">
        <v>46037</v>
      </c>
      <c r="C15" s="410" t="s">
        <v>1486</v>
      </c>
      <c r="D15" s="412"/>
      <c r="E15" s="412">
        <f t="shared" si="0"/>
        <v>152949.82999999999</v>
      </c>
      <c r="F15" s="445">
        <v>0</v>
      </c>
      <c r="G15" s="413">
        <f t="shared" si="1"/>
        <v>0</v>
      </c>
      <c r="H15" s="413">
        <f t="shared" si="2"/>
        <v>152949.82999999999</v>
      </c>
      <c r="I15" s="482"/>
      <c r="J15" s="414"/>
    </row>
    <row r="16" spans="1:10" s="330" customFormat="1" ht="12.75" customHeight="1" x14ac:dyDescent="0.25">
      <c r="A16" s="408" t="s">
        <v>1631</v>
      </c>
      <c r="B16" s="409">
        <v>46076</v>
      </c>
      <c r="C16" s="410" t="s">
        <v>1632</v>
      </c>
      <c r="D16" s="412"/>
      <c r="E16" s="412">
        <f t="shared" si="0"/>
        <v>152949.82999999999</v>
      </c>
      <c r="F16" s="445">
        <v>0</v>
      </c>
      <c r="G16" s="413">
        <f t="shared" si="1"/>
        <v>0</v>
      </c>
      <c r="H16" s="413">
        <f t="shared" si="2"/>
        <v>152949.82999999999</v>
      </c>
      <c r="I16" s="482"/>
      <c r="J16" s="414"/>
    </row>
    <row r="17" spans="1:10" s="330" customFormat="1" ht="12.75" customHeight="1" x14ac:dyDescent="0.25">
      <c r="A17" s="408" t="s">
        <v>1016</v>
      </c>
      <c r="B17" s="409">
        <v>46134</v>
      </c>
      <c r="C17" s="410" t="s">
        <v>1798</v>
      </c>
      <c r="D17" s="494">
        <v>-148480.92000000001</v>
      </c>
      <c r="E17" s="412">
        <f t="shared" si="0"/>
        <v>4468.9099999999744</v>
      </c>
      <c r="F17" s="422"/>
      <c r="G17" s="413">
        <f t="shared" si="1"/>
        <v>0</v>
      </c>
      <c r="H17" s="413">
        <f t="shared" si="2"/>
        <v>4468.9099999999744</v>
      </c>
      <c r="I17" s="482"/>
      <c r="J17" s="414"/>
    </row>
    <row r="18" spans="1:10" s="330" customFormat="1" ht="12.75" customHeight="1" x14ac:dyDescent="0.25">
      <c r="A18" s="408"/>
      <c r="B18" s="409"/>
      <c r="C18" s="410"/>
      <c r="D18" s="412"/>
      <c r="E18" s="412">
        <f t="shared" si="0"/>
        <v>4468.9099999999744</v>
      </c>
      <c r="F18" s="422"/>
      <c r="G18" s="413">
        <f t="shared" si="1"/>
        <v>0</v>
      </c>
      <c r="H18" s="413">
        <f t="shared" si="2"/>
        <v>4468.9099999999744</v>
      </c>
      <c r="I18" s="482"/>
      <c r="J18" s="414"/>
    </row>
    <row r="19" spans="1:10" s="330" customFormat="1" ht="12.75" customHeight="1" x14ac:dyDescent="0.25">
      <c r="A19" s="408"/>
      <c r="B19" s="409"/>
      <c r="C19" s="410"/>
      <c r="D19" s="412"/>
      <c r="E19" s="412">
        <f t="shared" si="0"/>
        <v>4468.9099999999744</v>
      </c>
      <c r="F19" s="413"/>
      <c r="G19" s="413">
        <f t="shared" si="1"/>
        <v>0</v>
      </c>
      <c r="H19" s="413">
        <f t="shared" si="2"/>
        <v>4468.9099999999744</v>
      </c>
      <c r="I19" s="482"/>
      <c r="J19" s="414"/>
    </row>
    <row r="20" spans="1:10" s="330" customFormat="1" ht="12.75" customHeight="1" x14ac:dyDescent="0.25">
      <c r="A20" s="408"/>
      <c r="B20" s="409"/>
      <c r="C20" s="423"/>
      <c r="D20" s="412"/>
      <c r="E20" s="412">
        <f t="shared" si="0"/>
        <v>4468.9099999999744</v>
      </c>
      <c r="F20" s="413"/>
      <c r="G20" s="413">
        <f t="shared" si="1"/>
        <v>0</v>
      </c>
      <c r="H20" s="413">
        <f t="shared" si="2"/>
        <v>4468.9099999999744</v>
      </c>
      <c r="I20" s="482"/>
      <c r="J20" s="414"/>
    </row>
    <row r="21" spans="1:10" s="330" customFormat="1" ht="12.75" customHeight="1" x14ac:dyDescent="0.25">
      <c r="A21" s="408"/>
      <c r="B21" s="410"/>
      <c r="C21" s="425"/>
      <c r="D21" s="413"/>
      <c r="E21" s="413"/>
      <c r="F21" s="413"/>
      <c r="G21" s="413"/>
      <c r="H21" s="413"/>
      <c r="I21" s="414"/>
      <c r="J21" s="414"/>
    </row>
    <row r="22" spans="1:10" s="330" customFormat="1" ht="12.75" customHeight="1" thickBot="1" x14ac:dyDescent="0.3">
      <c r="A22" s="408"/>
      <c r="B22" s="449"/>
      <c r="C22" s="450" t="s">
        <v>54</v>
      </c>
      <c r="D22" s="426">
        <f>SUM(D9:D21)</f>
        <v>4468.9099999999744</v>
      </c>
      <c r="E22" s="426"/>
      <c r="F22" s="426">
        <f>SUM(F9:F21)</f>
        <v>0</v>
      </c>
      <c r="G22" s="426"/>
      <c r="H22" s="426">
        <f>D22-F22</f>
        <v>4468.9099999999744</v>
      </c>
      <c r="I22" s="491"/>
      <c r="J22" s="414"/>
    </row>
    <row r="23" spans="1:10" s="330" customFormat="1" ht="12.75" customHeight="1" thickTop="1" x14ac:dyDescent="0.25">
      <c r="A23" s="408"/>
      <c r="B23" s="410"/>
      <c r="C23" s="425"/>
      <c r="D23" s="413"/>
      <c r="E23" s="413"/>
      <c r="F23" s="413"/>
      <c r="G23" s="413"/>
      <c r="H23" s="413"/>
      <c r="I23" s="414"/>
      <c r="J23" s="414"/>
    </row>
    <row r="24" spans="1:10" s="330" customFormat="1" ht="12.75" customHeight="1" x14ac:dyDescent="0.25">
      <c r="A24" s="408"/>
      <c r="B24" s="410"/>
      <c r="C24" s="425"/>
      <c r="D24" s="413"/>
      <c r="E24" s="413"/>
      <c r="F24" s="413"/>
      <c r="G24" s="413"/>
      <c r="H24" s="413"/>
      <c r="I24" s="414"/>
      <c r="J24" s="414"/>
    </row>
    <row r="25" spans="1:10" s="330" customFormat="1" ht="12.75" customHeight="1" x14ac:dyDescent="0.25">
      <c r="A25" s="408"/>
      <c r="B25" s="410"/>
      <c r="C25" s="425" t="s">
        <v>865</v>
      </c>
      <c r="D25" s="413">
        <v>1144000</v>
      </c>
      <c r="E25" s="413"/>
      <c r="F25" s="495">
        <f>'[1]#9279.30 Kline Electrical'!$F$23</f>
        <v>992268.58000000007</v>
      </c>
      <c r="G25" s="413"/>
      <c r="H25" s="413">
        <f>D25-F25</f>
        <v>151731.41999999993</v>
      </c>
      <c r="I25" s="414"/>
      <c r="J25" s="414"/>
    </row>
    <row r="26" spans="1:10" s="330" customFormat="1" ht="12.75" customHeight="1" thickBot="1" x14ac:dyDescent="0.3">
      <c r="A26" s="408"/>
      <c r="B26" s="410"/>
      <c r="C26" s="424" t="s">
        <v>864</v>
      </c>
      <c r="D26" s="426">
        <f>SUM(D20:D25)</f>
        <v>1148468.9099999999</v>
      </c>
      <c r="E26" s="496"/>
      <c r="F26" s="426">
        <f>SUM(F20:F25)</f>
        <v>992268.58000000007</v>
      </c>
      <c r="G26" s="496"/>
      <c r="H26" s="426">
        <f>SUM(H22:H25)</f>
        <v>156200.3299999999</v>
      </c>
      <c r="I26" s="414"/>
      <c r="J26" s="414"/>
    </row>
    <row r="27" spans="1:10" s="330" customFormat="1" ht="12.75" customHeight="1" thickTop="1" x14ac:dyDescent="0.25"/>
    <row r="28" spans="1:10" s="330" customFormat="1" ht="12.75" customHeight="1" x14ac:dyDescent="0.25"/>
    <row r="29" spans="1:10" s="330"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12B8-A68C-496A-AC52-8262F1BFD87F}">
  <sheetPr codeName="Sheet45">
    <pageSetUpPr fitToPage="1"/>
  </sheetPr>
  <dimension ref="A1:I3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1163</v>
      </c>
      <c r="B4" s="126"/>
      <c r="C4" s="127"/>
      <c r="D4" s="128" t="s">
        <v>172</v>
      </c>
      <c r="E4" s="124"/>
      <c r="F4" s="124"/>
      <c r="G4" s="124"/>
      <c r="H4" s="125"/>
      <c r="I4" s="125"/>
    </row>
    <row r="5" spans="1:9" ht="15.75" x14ac:dyDescent="0.25">
      <c r="A5" s="129" t="s">
        <v>143</v>
      </c>
      <c r="B5" s="130"/>
      <c r="C5" s="131"/>
      <c r="D5" s="132" t="s">
        <v>173</v>
      </c>
      <c r="E5" s="133"/>
      <c r="F5" s="134"/>
      <c r="G5" s="134"/>
      <c r="H5" s="130"/>
      <c r="I5" s="125"/>
    </row>
    <row r="6" spans="1:9" ht="15.75" x14ac:dyDescent="0.25">
      <c r="A6" s="86" t="str">
        <f>'RECAP #9279.40'!B6</f>
        <v>Project Manager - Jennifer K.</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1164</v>
      </c>
      <c r="B9" s="409">
        <v>45916</v>
      </c>
      <c r="C9" s="410" t="s">
        <v>107</v>
      </c>
      <c r="D9" s="411">
        <v>96210</v>
      </c>
      <c r="E9" s="412">
        <f>D9</f>
        <v>96210</v>
      </c>
      <c r="F9" s="413"/>
      <c r="G9" s="413"/>
      <c r="H9" s="413">
        <f>E9</f>
        <v>96210</v>
      </c>
      <c r="I9" s="414"/>
    </row>
    <row r="10" spans="1:9" s="330" customFormat="1" ht="12.75" customHeight="1" x14ac:dyDescent="0.25">
      <c r="A10" s="408" t="s">
        <v>1164</v>
      </c>
      <c r="B10" s="240">
        <v>46063</v>
      </c>
      <c r="C10" s="410" t="s">
        <v>301</v>
      </c>
      <c r="D10" s="411">
        <v>4660</v>
      </c>
      <c r="E10" s="412">
        <f t="shared" ref="E10:E21" si="0">E9+D10</f>
        <v>100870</v>
      </c>
      <c r="F10" s="445"/>
      <c r="G10" s="413">
        <f t="shared" ref="G10:G21" si="1">G9+F10</f>
        <v>0</v>
      </c>
      <c r="H10" s="413">
        <f t="shared" ref="H10:H21" si="2">H9-F10+D10</f>
        <v>100870</v>
      </c>
      <c r="I10" s="448"/>
    </row>
    <row r="11" spans="1:9" s="330" customFormat="1" ht="12.75" customHeight="1" x14ac:dyDescent="0.25">
      <c r="A11" s="408" t="s">
        <v>1164</v>
      </c>
      <c r="B11" s="409">
        <v>46126</v>
      </c>
      <c r="C11" s="410" t="s">
        <v>403</v>
      </c>
      <c r="D11" s="411">
        <v>30260</v>
      </c>
      <c r="E11" s="412">
        <f t="shared" si="0"/>
        <v>131130</v>
      </c>
      <c r="F11" s="445"/>
      <c r="G11" s="413">
        <f t="shared" si="1"/>
        <v>0</v>
      </c>
      <c r="H11" s="413">
        <f t="shared" si="2"/>
        <v>131130</v>
      </c>
      <c r="I11" s="414"/>
    </row>
    <row r="12" spans="1:9" s="330" customFormat="1" ht="12.75" customHeight="1" x14ac:dyDescent="0.25">
      <c r="A12" s="408" t="s">
        <v>1802</v>
      </c>
      <c r="B12" s="409">
        <v>47235</v>
      </c>
      <c r="C12" s="410" t="s">
        <v>1803</v>
      </c>
      <c r="D12" s="412"/>
      <c r="E12" s="412">
        <f t="shared" si="0"/>
        <v>131130</v>
      </c>
      <c r="F12" s="445">
        <v>100870</v>
      </c>
      <c r="G12" s="413">
        <f t="shared" si="1"/>
        <v>100870</v>
      </c>
      <c r="H12" s="413">
        <f t="shared" si="2"/>
        <v>30260</v>
      </c>
      <c r="I12" s="414"/>
    </row>
    <row r="13" spans="1:9" s="330" customFormat="1" ht="12.75" customHeight="1" x14ac:dyDescent="0.25">
      <c r="A13" s="408"/>
      <c r="B13" s="409"/>
      <c r="C13" s="410"/>
      <c r="D13" s="497"/>
      <c r="E13" s="412">
        <f t="shared" si="0"/>
        <v>131130</v>
      </c>
      <c r="F13" s="422"/>
      <c r="G13" s="413">
        <f t="shared" si="1"/>
        <v>100870</v>
      </c>
      <c r="H13" s="413">
        <f t="shared" si="2"/>
        <v>30260</v>
      </c>
      <c r="I13" s="414"/>
    </row>
    <row r="14" spans="1:9" s="330" customFormat="1" ht="12.75" customHeight="1" x14ac:dyDescent="0.25">
      <c r="A14" s="408"/>
      <c r="B14" s="409"/>
      <c r="C14" s="410"/>
      <c r="D14" s="412"/>
      <c r="E14" s="412">
        <f t="shared" si="0"/>
        <v>131130</v>
      </c>
      <c r="F14" s="413"/>
      <c r="G14" s="413">
        <f t="shared" si="1"/>
        <v>100870</v>
      </c>
      <c r="H14" s="413">
        <f t="shared" si="2"/>
        <v>30260</v>
      </c>
      <c r="I14" s="414"/>
    </row>
    <row r="15" spans="1:9" s="330" customFormat="1" ht="12.75" customHeight="1" x14ac:dyDescent="0.25">
      <c r="A15" s="408"/>
      <c r="B15" s="409"/>
      <c r="C15" s="410"/>
      <c r="D15" s="412"/>
      <c r="E15" s="412">
        <f t="shared" si="0"/>
        <v>131130</v>
      </c>
      <c r="F15" s="422"/>
      <c r="G15" s="413">
        <f t="shared" si="1"/>
        <v>100870</v>
      </c>
      <c r="H15" s="413">
        <f t="shared" si="2"/>
        <v>30260</v>
      </c>
      <c r="I15" s="414"/>
    </row>
    <row r="16" spans="1:9" s="330" customFormat="1" ht="12.75" customHeight="1" x14ac:dyDescent="0.25">
      <c r="A16" s="408"/>
      <c r="B16" s="409"/>
      <c r="C16" s="410"/>
      <c r="D16" s="412"/>
      <c r="E16" s="412">
        <f t="shared" si="0"/>
        <v>131130</v>
      </c>
      <c r="F16" s="422"/>
      <c r="G16" s="413">
        <f t="shared" si="1"/>
        <v>100870</v>
      </c>
      <c r="H16" s="413">
        <f t="shared" si="2"/>
        <v>30260</v>
      </c>
      <c r="I16" s="414"/>
    </row>
    <row r="17" spans="1:9" s="330" customFormat="1" ht="12.75" customHeight="1" x14ac:dyDescent="0.25">
      <c r="A17" s="408"/>
      <c r="B17" s="409"/>
      <c r="C17" s="410"/>
      <c r="D17" s="412"/>
      <c r="E17" s="412">
        <f t="shared" si="0"/>
        <v>131130</v>
      </c>
      <c r="F17" s="422"/>
      <c r="G17" s="413">
        <f t="shared" si="1"/>
        <v>100870</v>
      </c>
      <c r="H17" s="413">
        <f t="shared" si="2"/>
        <v>30260</v>
      </c>
      <c r="I17" s="414"/>
    </row>
    <row r="18" spans="1:9" s="330" customFormat="1" ht="12.75" customHeight="1" x14ac:dyDescent="0.25">
      <c r="A18" s="408"/>
      <c r="B18" s="409"/>
      <c r="C18" s="410"/>
      <c r="D18" s="412"/>
      <c r="E18" s="412">
        <f t="shared" si="0"/>
        <v>131130</v>
      </c>
      <c r="F18" s="422"/>
      <c r="G18" s="413">
        <f t="shared" si="1"/>
        <v>100870</v>
      </c>
      <c r="H18" s="413">
        <f t="shared" si="2"/>
        <v>30260</v>
      </c>
      <c r="I18" s="414"/>
    </row>
    <row r="19" spans="1:9" s="330" customFormat="1" ht="12.75" customHeight="1" x14ac:dyDescent="0.25">
      <c r="A19" s="408"/>
      <c r="B19" s="409"/>
      <c r="C19" s="410"/>
      <c r="D19" s="412"/>
      <c r="E19" s="412">
        <f t="shared" si="0"/>
        <v>131130</v>
      </c>
      <c r="F19" s="413"/>
      <c r="G19" s="413">
        <f t="shared" si="1"/>
        <v>100870</v>
      </c>
      <c r="H19" s="413">
        <f t="shared" si="2"/>
        <v>30260</v>
      </c>
      <c r="I19" s="414"/>
    </row>
    <row r="20" spans="1:9" s="330" customFormat="1" ht="12.75" customHeight="1" x14ac:dyDescent="0.25">
      <c r="A20" s="408"/>
      <c r="B20" s="409"/>
      <c r="C20" s="410"/>
      <c r="D20" s="412"/>
      <c r="E20" s="412">
        <f t="shared" si="0"/>
        <v>131130</v>
      </c>
      <c r="F20" s="413"/>
      <c r="G20" s="413">
        <f t="shared" si="1"/>
        <v>100870</v>
      </c>
      <c r="H20" s="413">
        <f t="shared" si="2"/>
        <v>30260</v>
      </c>
      <c r="I20" s="414"/>
    </row>
    <row r="21" spans="1:9" s="330" customFormat="1" ht="12.75" customHeight="1" x14ac:dyDescent="0.25">
      <c r="A21" s="408"/>
      <c r="B21" s="409"/>
      <c r="C21" s="423"/>
      <c r="D21" s="412"/>
      <c r="E21" s="412">
        <f t="shared" si="0"/>
        <v>131130</v>
      </c>
      <c r="F21" s="413"/>
      <c r="G21" s="413">
        <f t="shared" si="1"/>
        <v>100870</v>
      </c>
      <c r="H21" s="413">
        <f t="shared" si="2"/>
        <v>30260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131130</v>
      </c>
      <c r="E23" s="426"/>
      <c r="F23" s="426">
        <f>SUM(F9:F22)</f>
        <v>100870</v>
      </c>
      <c r="G23" s="426"/>
      <c r="H23" s="426">
        <f>D23-F23</f>
        <v>30260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298</v>
      </c>
      <c r="D26" s="413">
        <v>18370</v>
      </c>
      <c r="E26" s="413"/>
      <c r="F26" s="413">
        <f>18370</f>
        <v>18370</v>
      </c>
      <c r="G26" s="413"/>
      <c r="H26" s="413">
        <f t="shared" ref="H26:H31" si="3">D26-F26</f>
        <v>0</v>
      </c>
      <c r="I26" s="414"/>
    </row>
    <row r="27" spans="1:9" s="330" customFormat="1" ht="12.75" customHeight="1" x14ac:dyDescent="0.25">
      <c r="A27" s="408"/>
      <c r="B27" s="410"/>
      <c r="C27" s="425" t="s">
        <v>299</v>
      </c>
      <c r="D27" s="413">
        <v>27920</v>
      </c>
      <c r="E27" s="413"/>
      <c r="F27" s="413">
        <f>27920</f>
        <v>27920</v>
      </c>
      <c r="G27" s="413"/>
      <c r="H27" s="413">
        <f t="shared" si="3"/>
        <v>0</v>
      </c>
      <c r="I27" s="414"/>
    </row>
    <row r="28" spans="1:9" s="330" customFormat="1" ht="12.75" customHeight="1" x14ac:dyDescent="0.25">
      <c r="A28" s="408"/>
      <c r="B28" s="410"/>
      <c r="C28" s="425" t="s">
        <v>175</v>
      </c>
      <c r="D28" s="413">
        <v>47280</v>
      </c>
      <c r="E28" s="413"/>
      <c r="F28" s="413">
        <f>47280</f>
        <v>47280</v>
      </c>
      <c r="G28" s="413"/>
      <c r="H28" s="413">
        <f t="shared" si="3"/>
        <v>0</v>
      </c>
      <c r="I28" s="414"/>
    </row>
    <row r="29" spans="1:9" s="330" customFormat="1" ht="12.75" customHeight="1" x14ac:dyDescent="0.25">
      <c r="A29" s="408"/>
      <c r="B29" s="410"/>
      <c r="C29" s="425" t="s">
        <v>300</v>
      </c>
      <c r="D29" s="413">
        <v>2640</v>
      </c>
      <c r="E29" s="413"/>
      <c r="F29" s="413">
        <f>2640</f>
        <v>2640</v>
      </c>
      <c r="G29" s="413"/>
      <c r="H29" s="413">
        <f t="shared" si="3"/>
        <v>0</v>
      </c>
      <c r="I29" s="414"/>
    </row>
    <row r="30" spans="1:9" s="330" customFormat="1" ht="12.75" customHeight="1" x14ac:dyDescent="0.25">
      <c r="A30" s="408"/>
      <c r="B30" s="410"/>
      <c r="C30" s="425" t="s">
        <v>301</v>
      </c>
      <c r="D30" s="413">
        <v>4660</v>
      </c>
      <c r="E30" s="413"/>
      <c r="F30" s="413">
        <f>4660</f>
        <v>4660</v>
      </c>
      <c r="G30" s="413"/>
      <c r="H30" s="413">
        <f t="shared" si="3"/>
        <v>0</v>
      </c>
      <c r="I30" s="414"/>
    </row>
    <row r="31" spans="1:9" s="330" customFormat="1" ht="12.75" customHeight="1" x14ac:dyDescent="0.25">
      <c r="A31" s="408"/>
      <c r="B31" s="410"/>
      <c r="C31" s="425" t="s">
        <v>403</v>
      </c>
      <c r="D31" s="413">
        <v>30260</v>
      </c>
      <c r="E31" s="413"/>
      <c r="F31" s="413"/>
      <c r="G31" s="413"/>
      <c r="H31" s="413">
        <f t="shared" si="3"/>
        <v>30260</v>
      </c>
      <c r="I31" s="414"/>
    </row>
    <row r="32" spans="1:9" s="330" customFormat="1" ht="12.75" customHeight="1" thickBot="1" x14ac:dyDescent="0.3">
      <c r="A32" s="408"/>
      <c r="B32" s="410"/>
      <c r="C32" s="424" t="s">
        <v>555</v>
      </c>
      <c r="D32" s="426">
        <f>SUM(D26:D31)</f>
        <v>131130</v>
      </c>
      <c r="E32" s="427"/>
      <c r="F32" s="426">
        <f>SUM(F26:F31)</f>
        <v>100870</v>
      </c>
      <c r="G32" s="427"/>
      <c r="H32" s="426">
        <f>SUM(H26:H31)</f>
        <v>30260</v>
      </c>
      <c r="I32" s="414"/>
    </row>
    <row r="33" s="330" customFormat="1" ht="12.75" customHeight="1" thickTop="1" x14ac:dyDescent="0.25"/>
  </sheetData>
  <pageMargins left="0.25" right="0.25" top="0.85" bottom="0.75" header="0.08" footer="0.3"/>
  <pageSetup scale="8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7190-7EF8-4FA0-B543-10D740D41B95}">
  <sheetPr codeName="Sheet46">
    <tabColor rgb="FF0070C0"/>
    <pageSetUpPr fitToPage="1"/>
  </sheetPr>
  <dimension ref="A1:I34"/>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1.28515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85546875" style="282" customWidth="1"/>
    <col min="10" max="16384" width="11.42578125" style="282"/>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1165</v>
      </c>
      <c r="B4" s="126"/>
      <c r="C4" s="181"/>
      <c r="D4" s="185" t="s">
        <v>189</v>
      </c>
      <c r="E4" s="180"/>
      <c r="F4" s="180"/>
      <c r="G4" s="180"/>
      <c r="H4" s="181"/>
      <c r="I4" s="181"/>
    </row>
    <row r="5" spans="1:9" ht="15.75" x14ac:dyDescent="0.25">
      <c r="A5" s="186" t="s">
        <v>109</v>
      </c>
      <c r="B5" s="181"/>
      <c r="C5" s="187"/>
      <c r="D5" s="132" t="s">
        <v>190</v>
      </c>
      <c r="E5" s="137"/>
      <c r="F5" s="180"/>
      <c r="G5" s="180"/>
      <c r="H5" s="181"/>
      <c r="I5" s="181"/>
    </row>
    <row r="6" spans="1:9" ht="15.75" x14ac:dyDescent="0.25">
      <c r="A6" s="126" t="str">
        <f>'RECAP #9279.40'!B6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1166</v>
      </c>
      <c r="B9" s="500">
        <v>45916</v>
      </c>
      <c r="C9" s="501" t="s">
        <v>107</v>
      </c>
      <c r="D9" s="404">
        <v>21849.03</v>
      </c>
      <c r="E9" s="502">
        <f>D9</f>
        <v>21849.03</v>
      </c>
      <c r="F9" s="503"/>
      <c r="G9" s="503"/>
      <c r="H9" s="503">
        <f>E9</f>
        <v>21849.03</v>
      </c>
      <c r="I9" s="504"/>
    </row>
    <row r="10" spans="1:9" s="361" customFormat="1" ht="12.75" customHeight="1" x14ac:dyDescent="0.25">
      <c r="A10" s="499" t="s">
        <v>1355</v>
      </c>
      <c r="B10" s="365">
        <v>45979</v>
      </c>
      <c r="C10" s="501" t="s">
        <v>1356</v>
      </c>
      <c r="D10" s="404"/>
      <c r="E10" s="502">
        <f t="shared" ref="E10:E21" si="0">E9+D10</f>
        <v>21849.03</v>
      </c>
      <c r="F10" s="406">
        <v>1113.67</v>
      </c>
      <c r="G10" s="503">
        <f t="shared" ref="G10:G21" si="1">G9+F10</f>
        <v>1113.67</v>
      </c>
      <c r="H10" s="503">
        <f t="shared" ref="H10:H21" si="2">H9-F10+D10</f>
        <v>20735.36</v>
      </c>
      <c r="I10" s="504"/>
    </row>
    <row r="11" spans="1:9" s="361" customFormat="1" ht="12.75" customHeight="1" x14ac:dyDescent="0.25">
      <c r="A11" s="499" t="s">
        <v>1410</v>
      </c>
      <c r="B11" s="500">
        <v>46007</v>
      </c>
      <c r="C11" s="501" t="s">
        <v>1411</v>
      </c>
      <c r="D11" s="502"/>
      <c r="E11" s="502">
        <f t="shared" si="0"/>
        <v>21849.03</v>
      </c>
      <c r="F11" s="406">
        <v>1456.02</v>
      </c>
      <c r="G11" s="503">
        <f t="shared" si="1"/>
        <v>2569.69</v>
      </c>
      <c r="H11" s="503">
        <f t="shared" si="2"/>
        <v>19279.34</v>
      </c>
      <c r="I11" s="580"/>
    </row>
    <row r="12" spans="1:9" s="361" customFormat="1" ht="12.75" customHeight="1" x14ac:dyDescent="0.25">
      <c r="A12" s="499" t="s">
        <v>1496</v>
      </c>
      <c r="B12" s="500">
        <v>46038</v>
      </c>
      <c r="C12" s="501" t="s">
        <v>1497</v>
      </c>
      <c r="D12" s="404"/>
      <c r="E12" s="502">
        <f t="shared" si="0"/>
        <v>21849.03</v>
      </c>
      <c r="F12" s="406">
        <v>2766.79</v>
      </c>
      <c r="G12" s="503">
        <f t="shared" si="1"/>
        <v>5336.48</v>
      </c>
      <c r="H12" s="503">
        <f t="shared" si="2"/>
        <v>16512.55</v>
      </c>
      <c r="I12" s="504"/>
    </row>
    <row r="13" spans="1:9" s="361" customFormat="1" ht="12.75" customHeight="1" x14ac:dyDescent="0.25">
      <c r="A13" s="499" t="s">
        <v>1611</v>
      </c>
      <c r="B13" s="365">
        <v>46072</v>
      </c>
      <c r="C13" s="501" t="s">
        <v>1612</v>
      </c>
      <c r="D13" s="502"/>
      <c r="E13" s="502">
        <f t="shared" si="0"/>
        <v>21849.03</v>
      </c>
      <c r="F13" s="406">
        <v>3683.88</v>
      </c>
      <c r="G13" s="503">
        <f t="shared" si="1"/>
        <v>9020.36</v>
      </c>
      <c r="H13" s="503">
        <f t="shared" si="2"/>
        <v>12828.669999999998</v>
      </c>
      <c r="I13" s="504"/>
    </row>
    <row r="14" spans="1:9" s="361" customFormat="1" ht="12.75" customHeight="1" x14ac:dyDescent="0.25">
      <c r="A14" s="499" t="s">
        <v>1694</v>
      </c>
      <c r="B14" s="500">
        <v>46099</v>
      </c>
      <c r="C14" s="501" t="s">
        <v>1695</v>
      </c>
      <c r="D14" s="512">
        <v>-1815.85</v>
      </c>
      <c r="E14" s="502">
        <f t="shared" si="0"/>
        <v>20033.18</v>
      </c>
      <c r="F14" s="406">
        <v>11012.82</v>
      </c>
      <c r="G14" s="503">
        <f t="shared" si="1"/>
        <v>20033.18</v>
      </c>
      <c r="H14" s="503">
        <f t="shared" si="2"/>
        <v>0</v>
      </c>
      <c r="I14" s="504"/>
    </row>
    <row r="15" spans="1:9" s="361" customFormat="1" ht="12.75" customHeight="1" x14ac:dyDescent="0.25">
      <c r="A15" s="499"/>
      <c r="B15" s="500"/>
      <c r="C15" s="501"/>
      <c r="D15" s="404"/>
      <c r="E15" s="502">
        <f t="shared" si="0"/>
        <v>20033.18</v>
      </c>
      <c r="F15" s="406"/>
      <c r="G15" s="503">
        <f t="shared" si="1"/>
        <v>20033.18</v>
      </c>
      <c r="H15" s="503">
        <f t="shared" si="2"/>
        <v>0</v>
      </c>
      <c r="I15" s="504"/>
    </row>
    <row r="16" spans="1:9" s="361" customFormat="1" ht="12.75" customHeight="1" x14ac:dyDescent="0.25">
      <c r="A16" s="499"/>
      <c r="B16" s="500"/>
      <c r="C16" s="501"/>
      <c r="D16" s="502"/>
      <c r="E16" s="502">
        <f t="shared" si="0"/>
        <v>20033.18</v>
      </c>
      <c r="F16" s="406"/>
      <c r="G16" s="503">
        <f t="shared" si="1"/>
        <v>20033.18</v>
      </c>
      <c r="H16" s="503">
        <f t="shared" si="2"/>
        <v>0</v>
      </c>
      <c r="I16" s="504"/>
    </row>
    <row r="17" spans="1:9" s="361" customFormat="1" ht="12.75" customHeight="1" x14ac:dyDescent="0.25">
      <c r="A17" s="499"/>
      <c r="B17" s="500"/>
      <c r="C17" s="501"/>
      <c r="D17" s="502"/>
      <c r="E17" s="502">
        <f t="shared" si="0"/>
        <v>20033.18</v>
      </c>
      <c r="F17" s="406"/>
      <c r="G17" s="503">
        <f t="shared" si="1"/>
        <v>20033.18</v>
      </c>
      <c r="H17" s="503">
        <f t="shared" si="2"/>
        <v>0</v>
      </c>
      <c r="I17" s="504"/>
    </row>
    <row r="18" spans="1:9" s="361" customFormat="1" ht="12.75" customHeight="1" x14ac:dyDescent="0.25">
      <c r="A18" s="499"/>
      <c r="B18" s="500"/>
      <c r="C18" s="501"/>
      <c r="D18" s="404"/>
      <c r="E18" s="502">
        <f t="shared" si="0"/>
        <v>20033.18</v>
      </c>
      <c r="F18" s="406"/>
      <c r="G18" s="503">
        <f t="shared" si="1"/>
        <v>20033.18</v>
      </c>
      <c r="H18" s="503">
        <f t="shared" si="2"/>
        <v>0</v>
      </c>
      <c r="I18" s="504"/>
    </row>
    <row r="19" spans="1:9" s="361" customFormat="1" ht="12.75" customHeight="1" x14ac:dyDescent="0.25">
      <c r="A19" s="499"/>
      <c r="B19" s="500"/>
      <c r="C19" s="501"/>
      <c r="D19" s="502"/>
      <c r="E19" s="502">
        <f t="shared" si="0"/>
        <v>20033.18</v>
      </c>
      <c r="F19" s="406"/>
      <c r="G19" s="503">
        <f t="shared" si="1"/>
        <v>20033.18</v>
      </c>
      <c r="H19" s="503">
        <f t="shared" si="2"/>
        <v>0</v>
      </c>
      <c r="I19" s="504"/>
    </row>
    <row r="20" spans="1:9" s="361" customFormat="1" ht="12.75" customHeight="1" x14ac:dyDescent="0.25">
      <c r="A20" s="499"/>
      <c r="B20" s="500"/>
      <c r="C20" s="501"/>
      <c r="D20" s="502"/>
      <c r="E20" s="502">
        <f t="shared" si="0"/>
        <v>20033.18</v>
      </c>
      <c r="F20" s="503"/>
      <c r="G20" s="503">
        <f t="shared" si="1"/>
        <v>20033.18</v>
      </c>
      <c r="H20" s="503">
        <f t="shared" si="2"/>
        <v>0</v>
      </c>
      <c r="I20" s="504"/>
    </row>
    <row r="21" spans="1:9" s="361" customFormat="1" ht="12.75" customHeight="1" x14ac:dyDescent="0.25">
      <c r="A21" s="499"/>
      <c r="B21" s="500"/>
      <c r="C21" s="514"/>
      <c r="D21" s="502"/>
      <c r="E21" s="502">
        <f t="shared" si="0"/>
        <v>20033.18</v>
      </c>
      <c r="F21" s="503"/>
      <c r="G21" s="503">
        <f t="shared" si="1"/>
        <v>20033.18</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20033.18</v>
      </c>
      <c r="E23" s="405"/>
      <c r="F23" s="405">
        <f>SUM(F9:F22)</f>
        <v>20033.18</v>
      </c>
      <c r="G23" s="405"/>
      <c r="H23" s="405">
        <f>D23-F23</f>
        <v>0</v>
      </c>
      <c r="I23" s="533" t="s">
        <v>169</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518"/>
      <c r="B26" s="501"/>
      <c r="C26" s="515" t="s">
        <v>192</v>
      </c>
      <c r="D26" s="503">
        <f>21731.03-1697.85</f>
        <v>20033.18</v>
      </c>
      <c r="E26" s="503"/>
      <c r="F26" s="503">
        <f>1113.67+1456.02+2766.79+3683.88+11012.82</f>
        <v>20033.18</v>
      </c>
      <c r="G26" s="503"/>
      <c r="H26" s="503">
        <f>D26-F26</f>
        <v>0</v>
      </c>
      <c r="I26" s="504"/>
    </row>
    <row r="27" spans="1:9" s="361" customFormat="1" ht="12.75" customHeight="1" x14ac:dyDescent="0.25">
      <c r="A27" s="499"/>
      <c r="B27" s="501"/>
      <c r="C27" s="515" t="s">
        <v>156</v>
      </c>
      <c r="D27" s="503">
        <f>118-118</f>
        <v>0</v>
      </c>
      <c r="E27" s="503"/>
      <c r="F27" s="503"/>
      <c r="G27" s="503"/>
      <c r="H27" s="503">
        <f>D27-F27</f>
        <v>0</v>
      </c>
      <c r="I27" s="504"/>
    </row>
    <row r="28" spans="1:9" s="361" customFormat="1" ht="12.75" customHeight="1" thickBot="1" x14ac:dyDescent="0.3">
      <c r="A28" s="499"/>
      <c r="B28" s="501"/>
      <c r="C28" s="518" t="s">
        <v>555</v>
      </c>
      <c r="D28" s="405">
        <f>SUM(D26:D27)</f>
        <v>20033.18</v>
      </c>
      <c r="E28" s="519"/>
      <c r="F28" s="405">
        <f>SUM(F26:F27)</f>
        <v>20033.18</v>
      </c>
      <c r="G28" s="519"/>
      <c r="H28" s="405">
        <f>SUM(H26:H27)</f>
        <v>0</v>
      </c>
      <c r="I28" s="533"/>
    </row>
    <row r="29" spans="1:9" s="361" customFormat="1" ht="12.75" customHeight="1" thickTop="1" x14ac:dyDescent="0.25"/>
    <row r="30" spans="1:9" s="361" customFormat="1" ht="12.75" customHeight="1" x14ac:dyDescent="0.25"/>
    <row r="33" s="282" customFormat="1" ht="15" customHeight="1" x14ac:dyDescent="0.25"/>
    <row r="34" s="282" customFormat="1" ht="1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1233-8D9E-48DD-9330-2BF1A9193569}">
  <sheetPr codeName="Sheet47">
    <tabColor rgb="FF0070C0"/>
    <pageSetUpPr fitToPage="1"/>
  </sheetPr>
  <dimension ref="A1:I34"/>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3.710937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85546875" style="282" customWidth="1"/>
    <col min="10" max="16384" width="11.42578125" style="282"/>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1386</v>
      </c>
      <c r="B4" s="126"/>
      <c r="C4" s="181"/>
      <c r="D4" s="185" t="s">
        <v>200</v>
      </c>
      <c r="E4" s="180"/>
      <c r="F4" s="180"/>
      <c r="G4" s="180"/>
      <c r="H4" s="181"/>
      <c r="I4" s="181"/>
    </row>
    <row r="5" spans="1:9" ht="15.75" x14ac:dyDescent="0.25">
      <c r="A5" s="186" t="s">
        <v>109</v>
      </c>
      <c r="B5" s="181"/>
      <c r="C5" s="187"/>
      <c r="D5" s="132" t="s">
        <v>790</v>
      </c>
      <c r="E5" s="137"/>
      <c r="F5" s="180"/>
      <c r="G5" s="180"/>
      <c r="H5" s="181"/>
      <c r="I5" s="181"/>
    </row>
    <row r="6" spans="1:9" ht="15.75" x14ac:dyDescent="0.25">
      <c r="A6" s="126" t="str">
        <f>'RECAP #9279.40'!B6</f>
        <v>Project Manager - Jennifer K.</v>
      </c>
      <c r="B6" s="126"/>
      <c r="C6" s="188"/>
      <c r="D6" s="189" t="s">
        <v>202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1390</v>
      </c>
      <c r="B9" s="500">
        <v>47092</v>
      </c>
      <c r="C9" s="501" t="s">
        <v>703</v>
      </c>
      <c r="D9" s="404">
        <v>19270</v>
      </c>
      <c r="E9" s="502">
        <f>D9</f>
        <v>19270</v>
      </c>
      <c r="F9" s="503"/>
      <c r="G9" s="503"/>
      <c r="H9" s="503">
        <f>E9</f>
        <v>19270</v>
      </c>
      <c r="I9" s="504"/>
    </row>
    <row r="10" spans="1:9" s="361" customFormat="1" ht="12.75" customHeight="1" x14ac:dyDescent="0.25">
      <c r="A10" s="499" t="s">
        <v>1390</v>
      </c>
      <c r="B10" s="365">
        <v>46042</v>
      </c>
      <c r="C10" s="501" t="s">
        <v>301</v>
      </c>
      <c r="D10" s="512">
        <v>-1928</v>
      </c>
      <c r="E10" s="502">
        <f t="shared" ref="E10:E21" si="0">E9+D10</f>
        <v>17342</v>
      </c>
      <c r="F10" s="406"/>
      <c r="G10" s="503">
        <f t="shared" ref="G10:G21" si="1">G9+F10</f>
        <v>0</v>
      </c>
      <c r="H10" s="503">
        <f t="shared" ref="H10:H21" si="2">H9-F10+D10</f>
        <v>17342</v>
      </c>
      <c r="I10" s="504"/>
    </row>
    <row r="11" spans="1:9" s="361" customFormat="1" ht="12.75" customHeight="1" x14ac:dyDescent="0.25">
      <c r="A11" s="499" t="s">
        <v>1518</v>
      </c>
      <c r="B11" s="500">
        <v>46044</v>
      </c>
      <c r="C11" s="501" t="s">
        <v>1519</v>
      </c>
      <c r="D11" s="512">
        <v>-7980</v>
      </c>
      <c r="E11" s="502">
        <f t="shared" si="0"/>
        <v>9362</v>
      </c>
      <c r="F11" s="406">
        <v>9362</v>
      </c>
      <c r="G11" s="503">
        <f t="shared" si="1"/>
        <v>9362</v>
      </c>
      <c r="H11" s="503">
        <f t="shared" si="2"/>
        <v>0</v>
      </c>
      <c r="I11" s="580"/>
    </row>
    <row r="12" spans="1:9" s="361" customFormat="1" ht="12.75" customHeight="1" x14ac:dyDescent="0.25">
      <c r="A12" s="499"/>
      <c r="B12" s="500"/>
      <c r="C12" s="501"/>
      <c r="D12" s="404"/>
      <c r="E12" s="502">
        <f t="shared" si="0"/>
        <v>9362</v>
      </c>
      <c r="F12" s="406"/>
      <c r="G12" s="503">
        <f t="shared" si="1"/>
        <v>9362</v>
      </c>
      <c r="H12" s="503">
        <f t="shared" si="2"/>
        <v>0</v>
      </c>
      <c r="I12" s="504"/>
    </row>
    <row r="13" spans="1:9" s="361" customFormat="1" ht="12.75" customHeight="1" x14ac:dyDescent="0.25">
      <c r="A13" s="499"/>
      <c r="B13" s="365"/>
      <c r="C13" s="501"/>
      <c r="D13" s="502"/>
      <c r="E13" s="502">
        <f t="shared" si="0"/>
        <v>9362</v>
      </c>
      <c r="F13" s="406"/>
      <c r="G13" s="503">
        <f t="shared" si="1"/>
        <v>9362</v>
      </c>
      <c r="H13" s="503">
        <f t="shared" si="2"/>
        <v>0</v>
      </c>
      <c r="I13" s="504"/>
    </row>
    <row r="14" spans="1:9" s="361" customFormat="1" ht="12.75" customHeight="1" x14ac:dyDescent="0.25">
      <c r="A14" s="499"/>
      <c r="B14" s="500"/>
      <c r="C14" s="501"/>
      <c r="D14" s="502"/>
      <c r="E14" s="502">
        <f t="shared" si="0"/>
        <v>9362</v>
      </c>
      <c r="F14" s="406"/>
      <c r="G14" s="503">
        <f t="shared" si="1"/>
        <v>9362</v>
      </c>
      <c r="H14" s="503">
        <f t="shared" si="2"/>
        <v>0</v>
      </c>
      <c r="I14" s="504"/>
    </row>
    <row r="15" spans="1:9" s="361" customFormat="1" ht="12.75" customHeight="1" x14ac:dyDescent="0.25">
      <c r="A15" s="499"/>
      <c r="B15" s="500"/>
      <c r="C15" s="501"/>
      <c r="D15" s="404"/>
      <c r="E15" s="502">
        <f t="shared" si="0"/>
        <v>9362</v>
      </c>
      <c r="F15" s="406"/>
      <c r="G15" s="503">
        <f t="shared" si="1"/>
        <v>9362</v>
      </c>
      <c r="H15" s="503">
        <f t="shared" si="2"/>
        <v>0</v>
      </c>
      <c r="I15" s="504"/>
    </row>
    <row r="16" spans="1:9" s="361" customFormat="1" ht="12.75" customHeight="1" x14ac:dyDescent="0.25">
      <c r="A16" s="499"/>
      <c r="B16" s="500"/>
      <c r="C16" s="501"/>
      <c r="D16" s="502"/>
      <c r="E16" s="502">
        <f t="shared" si="0"/>
        <v>9362</v>
      </c>
      <c r="F16" s="406"/>
      <c r="G16" s="503">
        <f t="shared" si="1"/>
        <v>9362</v>
      </c>
      <c r="H16" s="503">
        <f t="shared" si="2"/>
        <v>0</v>
      </c>
      <c r="I16" s="504"/>
    </row>
    <row r="17" spans="1:9" s="361" customFormat="1" ht="12.75" customHeight="1" x14ac:dyDescent="0.25">
      <c r="A17" s="499"/>
      <c r="B17" s="500"/>
      <c r="C17" s="501"/>
      <c r="D17" s="502"/>
      <c r="E17" s="502">
        <f t="shared" si="0"/>
        <v>9362</v>
      </c>
      <c r="F17" s="406"/>
      <c r="G17" s="503">
        <f t="shared" si="1"/>
        <v>9362</v>
      </c>
      <c r="H17" s="503">
        <f t="shared" si="2"/>
        <v>0</v>
      </c>
      <c r="I17" s="504"/>
    </row>
    <row r="18" spans="1:9" s="361" customFormat="1" ht="12.75" customHeight="1" x14ac:dyDescent="0.25">
      <c r="A18" s="499"/>
      <c r="B18" s="500"/>
      <c r="C18" s="501"/>
      <c r="D18" s="404"/>
      <c r="E18" s="502">
        <f t="shared" si="0"/>
        <v>9362</v>
      </c>
      <c r="F18" s="406"/>
      <c r="G18" s="503">
        <f t="shared" si="1"/>
        <v>9362</v>
      </c>
      <c r="H18" s="503">
        <f t="shared" si="2"/>
        <v>0</v>
      </c>
      <c r="I18" s="504"/>
    </row>
    <row r="19" spans="1:9" s="361" customFormat="1" ht="12.75" customHeight="1" x14ac:dyDescent="0.25">
      <c r="A19" s="499"/>
      <c r="B19" s="500"/>
      <c r="C19" s="501"/>
      <c r="D19" s="502"/>
      <c r="E19" s="502">
        <f t="shared" si="0"/>
        <v>9362</v>
      </c>
      <c r="F19" s="406"/>
      <c r="G19" s="503">
        <f t="shared" si="1"/>
        <v>9362</v>
      </c>
      <c r="H19" s="503">
        <f t="shared" si="2"/>
        <v>0</v>
      </c>
      <c r="I19" s="504"/>
    </row>
    <row r="20" spans="1:9" s="361" customFormat="1" ht="12.75" customHeight="1" x14ac:dyDescent="0.25">
      <c r="A20" s="499"/>
      <c r="B20" s="500"/>
      <c r="C20" s="501"/>
      <c r="D20" s="502"/>
      <c r="E20" s="502">
        <f t="shared" si="0"/>
        <v>9362</v>
      </c>
      <c r="F20" s="503"/>
      <c r="G20" s="503">
        <f t="shared" si="1"/>
        <v>9362</v>
      </c>
      <c r="H20" s="503">
        <f t="shared" si="2"/>
        <v>0</v>
      </c>
      <c r="I20" s="504"/>
    </row>
    <row r="21" spans="1:9" s="361" customFormat="1" ht="12.75" customHeight="1" x14ac:dyDescent="0.25">
      <c r="A21" s="499"/>
      <c r="B21" s="500"/>
      <c r="C21" s="514"/>
      <c r="D21" s="502"/>
      <c r="E21" s="502">
        <f t="shared" si="0"/>
        <v>9362</v>
      </c>
      <c r="F21" s="503"/>
      <c r="G21" s="503">
        <f t="shared" si="1"/>
        <v>9362</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9362</v>
      </c>
      <c r="E23" s="405"/>
      <c r="F23" s="405">
        <f>SUM(F9:F22)</f>
        <v>9362</v>
      </c>
      <c r="G23" s="405"/>
      <c r="H23" s="405">
        <f>D23-F23</f>
        <v>0</v>
      </c>
      <c r="I23" s="533" t="s">
        <v>169</v>
      </c>
    </row>
    <row r="24" spans="1:9" s="361" customFormat="1" ht="12.75" customHeight="1" thickTop="1" x14ac:dyDescent="0.25">
      <c r="A24" s="499"/>
      <c r="B24" s="516"/>
      <c r="C24" s="518"/>
      <c r="D24" s="519"/>
      <c r="E24" s="519"/>
      <c r="F24" s="519"/>
      <c r="G24" s="519"/>
      <c r="H24" s="519"/>
      <c r="I24" s="504"/>
    </row>
    <row r="25" spans="1:9" s="361" customFormat="1" ht="12.75" customHeight="1" x14ac:dyDescent="0.25">
      <c r="A25" s="499"/>
      <c r="B25" s="516"/>
      <c r="C25" s="518"/>
      <c r="D25" s="519"/>
      <c r="E25" s="519"/>
      <c r="F25" s="519"/>
      <c r="G25" s="519"/>
      <c r="H25" s="519"/>
      <c r="I25" s="504"/>
    </row>
    <row r="26" spans="1:9" s="361" customFormat="1" ht="12.75" customHeight="1" x14ac:dyDescent="0.25">
      <c r="A26" s="499"/>
      <c r="B26" s="516"/>
      <c r="C26" s="515" t="s">
        <v>1820</v>
      </c>
      <c r="D26" s="503">
        <f>4200-2268</f>
        <v>1932</v>
      </c>
      <c r="E26" s="503"/>
      <c r="F26" s="503">
        <v>1932</v>
      </c>
      <c r="G26" s="503"/>
      <c r="H26" s="503">
        <f t="shared" ref="H26:H32" si="3">D26-F26</f>
        <v>0</v>
      </c>
      <c r="I26" s="504"/>
    </row>
    <row r="27" spans="1:9" s="361" customFormat="1" ht="12.75" customHeight="1" x14ac:dyDescent="0.25">
      <c r="A27" s="499"/>
      <c r="B27" s="501"/>
      <c r="C27" s="515" t="s">
        <v>1388</v>
      </c>
      <c r="D27" s="503">
        <f>1020+340</f>
        <v>1360</v>
      </c>
      <c r="E27" s="503"/>
      <c r="F27" s="503">
        <f>1020+340</f>
        <v>1360</v>
      </c>
      <c r="G27" s="503"/>
      <c r="H27" s="503">
        <f t="shared" si="3"/>
        <v>0</v>
      </c>
      <c r="I27" s="504"/>
    </row>
    <row r="28" spans="1:9" s="361" customFormat="1" ht="12.75" customHeight="1" x14ac:dyDescent="0.25">
      <c r="A28" s="499"/>
      <c r="B28" s="501"/>
      <c r="C28" s="515" t="s">
        <v>411</v>
      </c>
      <c r="D28" s="503">
        <f>180-135</f>
        <v>45</v>
      </c>
      <c r="E28" s="503"/>
      <c r="F28" s="503">
        <f>45</f>
        <v>45</v>
      </c>
      <c r="G28" s="503"/>
      <c r="H28" s="503">
        <f t="shared" si="3"/>
        <v>0</v>
      </c>
      <c r="I28" s="504"/>
    </row>
    <row r="29" spans="1:9" s="361" customFormat="1" ht="12.75" customHeight="1" x14ac:dyDescent="0.25">
      <c r="A29" s="518"/>
      <c r="B29" s="501"/>
      <c r="C29" s="515" t="s">
        <v>1389</v>
      </c>
      <c r="D29" s="503">
        <f>9600-4440</f>
        <v>5160</v>
      </c>
      <c r="E29" s="503"/>
      <c r="F29" s="503">
        <f>5160</f>
        <v>5160</v>
      </c>
      <c r="G29" s="503"/>
      <c r="H29" s="503">
        <f t="shared" si="3"/>
        <v>0</v>
      </c>
      <c r="I29" s="504"/>
    </row>
    <row r="30" spans="1:9" s="361" customFormat="1" ht="12.75" customHeight="1" x14ac:dyDescent="0.25">
      <c r="A30" s="518"/>
      <c r="B30" s="501"/>
      <c r="C30" s="515" t="s">
        <v>1819</v>
      </c>
      <c r="D30" s="503">
        <f>4000-3375</f>
        <v>625</v>
      </c>
      <c r="E30" s="503"/>
      <c r="F30" s="503">
        <f>625</f>
        <v>625</v>
      </c>
      <c r="G30" s="503"/>
      <c r="H30" s="503">
        <f t="shared" si="3"/>
        <v>0</v>
      </c>
      <c r="I30" s="504"/>
    </row>
    <row r="31" spans="1:9" s="361" customFormat="1" ht="12.75" customHeight="1" x14ac:dyDescent="0.25">
      <c r="A31" s="499"/>
      <c r="B31" s="501"/>
      <c r="C31" s="515" t="s">
        <v>1387</v>
      </c>
      <c r="D31" s="503">
        <f>270-30</f>
        <v>240</v>
      </c>
      <c r="E31" s="503"/>
      <c r="F31" s="503">
        <f>240</f>
        <v>240</v>
      </c>
      <c r="G31" s="503"/>
      <c r="H31" s="503">
        <f t="shared" si="3"/>
        <v>0</v>
      </c>
      <c r="I31" s="504"/>
    </row>
    <row r="32" spans="1:9" s="361" customFormat="1" ht="12.75" customHeight="1" x14ac:dyDescent="0.25">
      <c r="A32" s="499"/>
      <c r="B32" s="501"/>
      <c r="C32" s="515" t="s">
        <v>1504</v>
      </c>
      <c r="D32" s="503">
        <v>0</v>
      </c>
      <c r="E32" s="503"/>
      <c r="F32" s="503">
        <v>0</v>
      </c>
      <c r="G32" s="503"/>
      <c r="H32" s="503">
        <f t="shared" si="3"/>
        <v>0</v>
      </c>
      <c r="I32" s="504"/>
    </row>
    <row r="33" spans="1:9" s="361" customFormat="1" ht="12.75" customHeight="1" thickBot="1" x14ac:dyDescent="0.3">
      <c r="A33" s="499"/>
      <c r="B33" s="501"/>
      <c r="C33" s="518" t="s">
        <v>555</v>
      </c>
      <c r="D33" s="405">
        <f>SUM(D26:D32)</f>
        <v>9362</v>
      </c>
      <c r="E33" s="519"/>
      <c r="F33" s="405">
        <f>SUM(F26:F31)</f>
        <v>9362</v>
      </c>
      <c r="G33" s="519"/>
      <c r="H33" s="405">
        <f>SUM(H26:H32)</f>
        <v>0</v>
      </c>
      <c r="I33" s="533"/>
    </row>
    <row r="34" spans="1:9" s="361" customFormat="1" ht="12.7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1032-42AB-4F11-B796-CEFF5CAA7D24}">
  <sheetPr codeName="Sheet48">
    <pageSetUpPr fitToPage="1"/>
  </sheetPr>
  <dimension ref="A1:I33"/>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1525</v>
      </c>
      <c r="B4" s="126"/>
      <c r="C4" s="127"/>
      <c r="D4" s="128" t="s">
        <v>200</v>
      </c>
      <c r="E4" s="124"/>
      <c r="F4" s="124"/>
      <c r="G4" s="124"/>
      <c r="H4" s="125"/>
      <c r="I4" s="125"/>
    </row>
    <row r="5" spans="1:9" ht="15.75" x14ac:dyDescent="0.25">
      <c r="A5" s="129" t="s">
        <v>109</v>
      </c>
      <c r="B5" s="130"/>
      <c r="C5" s="131"/>
      <c r="D5" s="132" t="s">
        <v>790</v>
      </c>
      <c r="E5" s="133"/>
      <c r="F5" s="134"/>
      <c r="G5" s="134"/>
      <c r="H5" s="130"/>
      <c r="I5" s="125"/>
    </row>
    <row r="6" spans="1:9" ht="15.75" x14ac:dyDescent="0.25">
      <c r="A6" s="86" t="str">
        <f>'RECAP #9279.40'!B6</f>
        <v>Project Manager - Jennifer K.</v>
      </c>
      <c r="B6" s="86"/>
      <c r="C6" s="135"/>
      <c r="D6" s="136" t="s">
        <v>202</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1526</v>
      </c>
      <c r="B9" s="409">
        <v>46048</v>
      </c>
      <c r="C9" s="410" t="s">
        <v>703</v>
      </c>
      <c r="D9" s="411">
        <v>5958</v>
      </c>
      <c r="E9" s="412">
        <f>D9</f>
        <v>5958</v>
      </c>
      <c r="F9" s="413"/>
      <c r="G9" s="413"/>
      <c r="H9" s="413">
        <f>E9</f>
        <v>5958</v>
      </c>
      <c r="I9" s="414"/>
    </row>
    <row r="10" spans="1:9" s="330" customFormat="1" ht="12.75" customHeight="1" x14ac:dyDescent="0.25">
      <c r="A10" s="408"/>
      <c r="B10" s="240"/>
      <c r="C10" s="410"/>
      <c r="D10" s="411"/>
      <c r="E10" s="412">
        <f t="shared" ref="E10:E21" si="0">E9+D10</f>
        <v>5958</v>
      </c>
      <c r="F10" s="445"/>
      <c r="G10" s="413">
        <f t="shared" ref="G10:G21" si="1">G9+F10</f>
        <v>0</v>
      </c>
      <c r="H10" s="413">
        <f t="shared" ref="H10:H21" si="2">H9-F10+D10</f>
        <v>5958</v>
      </c>
      <c r="I10" s="414"/>
    </row>
    <row r="11" spans="1:9" s="330" customFormat="1" ht="12.75" customHeight="1" x14ac:dyDescent="0.25">
      <c r="A11" s="408"/>
      <c r="B11" s="409"/>
      <c r="C11" s="410"/>
      <c r="D11" s="412"/>
      <c r="E11" s="412">
        <f t="shared" si="0"/>
        <v>5958</v>
      </c>
      <c r="F11" s="445"/>
      <c r="G11" s="413">
        <f t="shared" si="1"/>
        <v>0</v>
      </c>
      <c r="H11" s="413">
        <f t="shared" si="2"/>
        <v>5958</v>
      </c>
      <c r="I11" s="448"/>
    </row>
    <row r="12" spans="1:9" s="330" customFormat="1" ht="12.75" customHeight="1" x14ac:dyDescent="0.25">
      <c r="A12" s="408"/>
      <c r="B12" s="409"/>
      <c r="C12" s="410"/>
      <c r="D12" s="411"/>
      <c r="E12" s="412">
        <f t="shared" si="0"/>
        <v>5958</v>
      </c>
      <c r="F12" s="445"/>
      <c r="G12" s="413">
        <f t="shared" si="1"/>
        <v>0</v>
      </c>
      <c r="H12" s="413">
        <f t="shared" si="2"/>
        <v>5958</v>
      </c>
      <c r="I12" s="414"/>
    </row>
    <row r="13" spans="1:9" s="330" customFormat="1" ht="12.75" customHeight="1" x14ac:dyDescent="0.25">
      <c r="A13" s="408"/>
      <c r="B13" s="240"/>
      <c r="C13" s="410"/>
      <c r="D13" s="412"/>
      <c r="E13" s="412">
        <f t="shared" si="0"/>
        <v>5958</v>
      </c>
      <c r="F13" s="422"/>
      <c r="G13" s="413">
        <f t="shared" si="1"/>
        <v>0</v>
      </c>
      <c r="H13" s="413">
        <f t="shared" si="2"/>
        <v>5958</v>
      </c>
      <c r="I13" s="414"/>
    </row>
    <row r="14" spans="1:9" s="330" customFormat="1" ht="12.75" customHeight="1" x14ac:dyDescent="0.25">
      <c r="A14" s="408"/>
      <c r="B14" s="409"/>
      <c r="C14" s="410"/>
      <c r="D14" s="412"/>
      <c r="E14" s="412">
        <f t="shared" si="0"/>
        <v>5958</v>
      </c>
      <c r="F14" s="422"/>
      <c r="G14" s="413">
        <f t="shared" si="1"/>
        <v>0</v>
      </c>
      <c r="H14" s="413">
        <f t="shared" si="2"/>
        <v>5958</v>
      </c>
      <c r="I14" s="414"/>
    </row>
    <row r="15" spans="1:9" s="330" customFormat="1" ht="12.75" customHeight="1" x14ac:dyDescent="0.25">
      <c r="A15" s="408"/>
      <c r="B15" s="409"/>
      <c r="C15" s="410"/>
      <c r="D15" s="411"/>
      <c r="E15" s="412">
        <f t="shared" si="0"/>
        <v>5958</v>
      </c>
      <c r="F15" s="422"/>
      <c r="G15" s="413">
        <f t="shared" si="1"/>
        <v>0</v>
      </c>
      <c r="H15" s="413">
        <f t="shared" si="2"/>
        <v>5958</v>
      </c>
      <c r="I15" s="414"/>
    </row>
    <row r="16" spans="1:9" s="330" customFormat="1" ht="12.75" customHeight="1" x14ac:dyDescent="0.25">
      <c r="A16" s="408"/>
      <c r="B16" s="409"/>
      <c r="C16" s="410"/>
      <c r="D16" s="412"/>
      <c r="E16" s="412">
        <f t="shared" si="0"/>
        <v>5958</v>
      </c>
      <c r="F16" s="445"/>
      <c r="G16" s="413">
        <f t="shared" si="1"/>
        <v>0</v>
      </c>
      <c r="H16" s="413">
        <f t="shared" si="2"/>
        <v>5958</v>
      </c>
      <c r="I16" s="414"/>
    </row>
    <row r="17" spans="1:9" s="330" customFormat="1" ht="12.75" customHeight="1" x14ac:dyDescent="0.25">
      <c r="A17" s="408"/>
      <c r="B17" s="409"/>
      <c r="C17" s="410"/>
      <c r="D17" s="412"/>
      <c r="E17" s="412">
        <f t="shared" si="0"/>
        <v>5958</v>
      </c>
      <c r="F17" s="445"/>
      <c r="G17" s="413">
        <f t="shared" si="1"/>
        <v>0</v>
      </c>
      <c r="H17" s="413">
        <f t="shared" si="2"/>
        <v>5958</v>
      </c>
      <c r="I17" s="414"/>
    </row>
    <row r="18" spans="1:9" s="330" customFormat="1" ht="12.75" customHeight="1" x14ac:dyDescent="0.25">
      <c r="A18" s="408"/>
      <c r="B18" s="409"/>
      <c r="C18" s="410"/>
      <c r="D18" s="411"/>
      <c r="E18" s="412">
        <f t="shared" si="0"/>
        <v>5958</v>
      </c>
      <c r="F18" s="422"/>
      <c r="G18" s="413">
        <f t="shared" si="1"/>
        <v>0</v>
      </c>
      <c r="H18" s="413">
        <f t="shared" si="2"/>
        <v>5958</v>
      </c>
      <c r="I18" s="414"/>
    </row>
    <row r="19" spans="1:9" s="330" customFormat="1" ht="12.75" customHeight="1" x14ac:dyDescent="0.25">
      <c r="A19" s="408"/>
      <c r="B19" s="409"/>
      <c r="C19" s="410"/>
      <c r="D19" s="412"/>
      <c r="E19" s="412">
        <f t="shared" si="0"/>
        <v>5958</v>
      </c>
      <c r="F19" s="422"/>
      <c r="G19" s="413">
        <f t="shared" si="1"/>
        <v>0</v>
      </c>
      <c r="H19" s="413">
        <f t="shared" si="2"/>
        <v>5958</v>
      </c>
      <c r="I19" s="414"/>
    </row>
    <row r="20" spans="1:9" s="330" customFormat="1" ht="12.75" customHeight="1" x14ac:dyDescent="0.25">
      <c r="A20" s="408"/>
      <c r="B20" s="409"/>
      <c r="C20" s="410"/>
      <c r="D20" s="412"/>
      <c r="E20" s="412">
        <f t="shared" si="0"/>
        <v>5958</v>
      </c>
      <c r="F20" s="413"/>
      <c r="G20" s="413">
        <f t="shared" si="1"/>
        <v>0</v>
      </c>
      <c r="H20" s="413">
        <f t="shared" si="2"/>
        <v>5958</v>
      </c>
      <c r="I20" s="414"/>
    </row>
    <row r="21" spans="1:9" s="330" customFormat="1" ht="12.75" customHeight="1" x14ac:dyDescent="0.25">
      <c r="A21" s="408"/>
      <c r="B21" s="409"/>
      <c r="C21" s="423"/>
      <c r="D21" s="412"/>
      <c r="E21" s="412">
        <f t="shared" si="0"/>
        <v>5958</v>
      </c>
      <c r="F21" s="413"/>
      <c r="G21" s="413">
        <f t="shared" si="1"/>
        <v>0</v>
      </c>
      <c r="H21" s="413">
        <f t="shared" si="2"/>
        <v>5958</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5958</v>
      </c>
      <c r="E23" s="426"/>
      <c r="F23" s="426">
        <f>SUM(F9:F22)</f>
        <v>0</v>
      </c>
      <c r="G23" s="426"/>
      <c r="H23" s="426">
        <f>D23-F23</f>
        <v>5958</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24"/>
      <c r="B26" s="410"/>
      <c r="C26" s="425" t="s">
        <v>1817</v>
      </c>
      <c r="D26" s="413">
        <v>120</v>
      </c>
      <c r="E26" s="413"/>
      <c r="F26" s="413"/>
      <c r="G26" s="413"/>
      <c r="H26" s="413">
        <f t="shared" ref="H26:H31" si="3">D26-F26</f>
        <v>120</v>
      </c>
      <c r="I26" s="414"/>
    </row>
    <row r="27" spans="1:9" s="330" customFormat="1" ht="12.75" customHeight="1" x14ac:dyDescent="0.25">
      <c r="A27" s="408"/>
      <c r="B27" s="410"/>
      <c r="C27" s="425" t="s">
        <v>1527</v>
      </c>
      <c r="D27" s="413">
        <v>68</v>
      </c>
      <c r="E27" s="413"/>
      <c r="F27" s="413"/>
      <c r="G27" s="413"/>
      <c r="H27" s="413">
        <f t="shared" si="3"/>
        <v>68</v>
      </c>
      <c r="I27" s="414"/>
    </row>
    <row r="28" spans="1:9" s="330" customFormat="1" ht="12.75" customHeight="1" x14ac:dyDescent="0.25">
      <c r="A28" s="408"/>
      <c r="B28" s="410"/>
      <c r="C28" s="425" t="s">
        <v>209</v>
      </c>
      <c r="D28" s="413">
        <v>135</v>
      </c>
      <c r="E28" s="413"/>
      <c r="F28" s="413"/>
      <c r="G28" s="413"/>
      <c r="H28" s="413">
        <f t="shared" si="3"/>
        <v>135</v>
      </c>
      <c r="I28" s="491"/>
    </row>
    <row r="29" spans="1:9" s="330" customFormat="1" ht="12.75" customHeight="1" x14ac:dyDescent="0.25">
      <c r="C29" s="330" t="s">
        <v>1528</v>
      </c>
      <c r="D29" s="413">
        <v>3120</v>
      </c>
      <c r="E29" s="413"/>
      <c r="F29" s="413"/>
      <c r="G29" s="413"/>
      <c r="H29" s="413">
        <f t="shared" si="3"/>
        <v>3120</v>
      </c>
    </row>
    <row r="30" spans="1:9" s="330" customFormat="1" ht="12.75" customHeight="1" x14ac:dyDescent="0.25">
      <c r="C30" s="330" t="s">
        <v>1818</v>
      </c>
      <c r="D30" s="413">
        <v>2400</v>
      </c>
      <c r="E30" s="413"/>
      <c r="F30" s="413"/>
      <c r="G30" s="413"/>
      <c r="H30" s="413">
        <f t="shared" si="3"/>
        <v>2400</v>
      </c>
    </row>
    <row r="31" spans="1:9" ht="15" customHeight="1" x14ac:dyDescent="0.25">
      <c r="C31" t="s">
        <v>1529</v>
      </c>
      <c r="D31" s="413">
        <v>115</v>
      </c>
      <c r="E31" s="413"/>
      <c r="F31" s="413"/>
      <c r="G31" s="413"/>
      <c r="H31" s="413">
        <f t="shared" si="3"/>
        <v>115</v>
      </c>
    </row>
    <row r="32" spans="1:9" ht="15" customHeight="1" thickBot="1" x14ac:dyDescent="0.3">
      <c r="C32" t="s">
        <v>555</v>
      </c>
      <c r="D32" s="426">
        <f>SUM(D26:D31)</f>
        <v>5958</v>
      </c>
      <c r="E32" s="427"/>
      <c r="F32" s="426">
        <f>SUM(F26:F31)</f>
        <v>0</v>
      </c>
      <c r="G32" s="427"/>
      <c r="H32" s="426">
        <f>SUM(H26:H31)</f>
        <v>5958</v>
      </c>
    </row>
    <row r="33"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40C41-EC59-49DD-BA5A-9A53E4CF3FBE}">
  <sheetPr codeName="Sheet49">
    <tabColor rgb="FF0070C0"/>
    <pageSetUpPr fitToPage="1"/>
  </sheetPr>
  <dimension ref="A1:I31"/>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26.28515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85546875" style="282" customWidth="1"/>
    <col min="10" max="16384" width="11.42578125" style="282"/>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1613</v>
      </c>
      <c r="B4" s="126"/>
      <c r="C4" s="181"/>
      <c r="D4" s="185" t="s">
        <v>1614</v>
      </c>
      <c r="E4" s="180"/>
      <c r="F4" s="180"/>
      <c r="G4" s="180"/>
      <c r="H4" s="181"/>
      <c r="I4" s="181"/>
    </row>
    <row r="5" spans="1:9" ht="15.75" x14ac:dyDescent="0.25">
      <c r="A5" s="186" t="s">
        <v>109</v>
      </c>
      <c r="B5" s="181"/>
      <c r="C5" s="187"/>
      <c r="D5" s="132" t="s">
        <v>1615</v>
      </c>
      <c r="E5" s="137"/>
      <c r="F5" s="180"/>
      <c r="G5" s="180"/>
      <c r="H5" s="181"/>
      <c r="I5" s="181"/>
    </row>
    <row r="6" spans="1:9" ht="15.75" x14ac:dyDescent="0.25">
      <c r="A6" s="126" t="str">
        <f>'RECAP #9279.40'!B6</f>
        <v>Project Manager - Jennifer K.</v>
      </c>
      <c r="B6" s="126"/>
      <c r="C6" s="188"/>
      <c r="D6" s="189" t="s">
        <v>202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61" customFormat="1" ht="12.75" customHeight="1" x14ac:dyDescent="0.25">
      <c r="A9" s="499" t="s">
        <v>1616</v>
      </c>
      <c r="B9" s="500">
        <v>46072</v>
      </c>
      <c r="C9" s="501" t="s">
        <v>703</v>
      </c>
      <c r="D9" s="404">
        <v>18497.2</v>
      </c>
      <c r="E9" s="502">
        <f>D9</f>
        <v>18497.2</v>
      </c>
      <c r="F9" s="503"/>
      <c r="G9" s="503"/>
      <c r="H9" s="503">
        <f>E9</f>
        <v>18497.2</v>
      </c>
      <c r="I9" s="504"/>
    </row>
    <row r="10" spans="1:9" s="361" customFormat="1" ht="12.75" customHeight="1" x14ac:dyDescent="0.25">
      <c r="A10" s="499" t="s">
        <v>1686</v>
      </c>
      <c r="B10" s="365">
        <v>46097</v>
      </c>
      <c r="C10" s="501" t="s">
        <v>1687</v>
      </c>
      <c r="D10" s="404"/>
      <c r="E10" s="502">
        <f t="shared" ref="E10:E21" si="0">E9+D10</f>
        <v>18497.2</v>
      </c>
      <c r="F10" s="406">
        <v>1088</v>
      </c>
      <c r="G10" s="503">
        <f t="shared" ref="G10:G21" si="1">G9+F10</f>
        <v>1088</v>
      </c>
      <c r="H10" s="503">
        <f t="shared" ref="H10:H21" si="2">H9-F10+D10</f>
        <v>17409.2</v>
      </c>
      <c r="I10" s="504"/>
    </row>
    <row r="11" spans="1:9" s="361" customFormat="1" ht="12.75" customHeight="1" x14ac:dyDescent="0.25">
      <c r="A11" s="499" t="s">
        <v>1763</v>
      </c>
      <c r="B11" s="500">
        <v>46121</v>
      </c>
      <c r="C11" s="501" t="s">
        <v>1764</v>
      </c>
      <c r="D11" s="512">
        <v>-16013.8</v>
      </c>
      <c r="E11" s="502">
        <f t="shared" si="0"/>
        <v>2483.4000000000015</v>
      </c>
      <c r="F11" s="406">
        <v>1395.4</v>
      </c>
      <c r="G11" s="503">
        <f t="shared" si="1"/>
        <v>2483.4</v>
      </c>
      <c r="H11" s="503">
        <f t="shared" si="2"/>
        <v>0</v>
      </c>
      <c r="I11" s="580"/>
    </row>
    <row r="12" spans="1:9" s="361" customFormat="1" ht="12.75" customHeight="1" x14ac:dyDescent="0.25">
      <c r="A12" s="499"/>
      <c r="B12" s="500"/>
      <c r="C12" s="501"/>
      <c r="D12" s="404"/>
      <c r="E12" s="502">
        <f t="shared" si="0"/>
        <v>2483.4000000000015</v>
      </c>
      <c r="F12" s="406"/>
      <c r="G12" s="503">
        <f t="shared" si="1"/>
        <v>2483.4</v>
      </c>
      <c r="H12" s="503">
        <f t="shared" si="2"/>
        <v>0</v>
      </c>
      <c r="I12" s="504"/>
    </row>
    <row r="13" spans="1:9" s="361" customFormat="1" ht="12.75" customHeight="1" x14ac:dyDescent="0.25">
      <c r="A13" s="499"/>
      <c r="B13" s="365"/>
      <c r="C13" s="501"/>
      <c r="D13" s="502"/>
      <c r="E13" s="502">
        <f t="shared" si="0"/>
        <v>2483.4000000000015</v>
      </c>
      <c r="F13" s="406"/>
      <c r="G13" s="503">
        <f t="shared" si="1"/>
        <v>2483.4</v>
      </c>
      <c r="H13" s="503">
        <f t="shared" si="2"/>
        <v>0</v>
      </c>
      <c r="I13" s="504"/>
    </row>
    <row r="14" spans="1:9" s="361" customFormat="1" ht="12.75" customHeight="1" x14ac:dyDescent="0.25">
      <c r="A14" s="499"/>
      <c r="B14" s="500"/>
      <c r="C14" s="501"/>
      <c r="D14" s="502"/>
      <c r="E14" s="502">
        <f t="shared" si="0"/>
        <v>2483.4000000000015</v>
      </c>
      <c r="F14" s="406"/>
      <c r="G14" s="503">
        <f t="shared" si="1"/>
        <v>2483.4</v>
      </c>
      <c r="H14" s="503">
        <f t="shared" si="2"/>
        <v>0</v>
      </c>
      <c r="I14" s="504"/>
    </row>
    <row r="15" spans="1:9" s="361" customFormat="1" ht="12.75" customHeight="1" x14ac:dyDescent="0.25">
      <c r="A15" s="499"/>
      <c r="B15" s="500"/>
      <c r="C15" s="501"/>
      <c r="D15" s="404"/>
      <c r="E15" s="502">
        <f t="shared" si="0"/>
        <v>2483.4000000000015</v>
      </c>
      <c r="F15" s="406"/>
      <c r="G15" s="503">
        <f t="shared" si="1"/>
        <v>2483.4</v>
      </c>
      <c r="H15" s="503">
        <f t="shared" si="2"/>
        <v>0</v>
      </c>
      <c r="I15" s="504"/>
    </row>
    <row r="16" spans="1:9" s="361" customFormat="1" ht="12.75" customHeight="1" x14ac:dyDescent="0.25">
      <c r="A16" s="499"/>
      <c r="B16" s="500"/>
      <c r="C16" s="501"/>
      <c r="D16" s="502"/>
      <c r="E16" s="502">
        <f t="shared" si="0"/>
        <v>2483.4000000000015</v>
      </c>
      <c r="F16" s="406"/>
      <c r="G16" s="503">
        <f t="shared" si="1"/>
        <v>2483.4</v>
      </c>
      <c r="H16" s="503">
        <f t="shared" si="2"/>
        <v>0</v>
      </c>
      <c r="I16" s="504"/>
    </row>
    <row r="17" spans="1:9" s="361" customFormat="1" ht="12.75" customHeight="1" x14ac:dyDescent="0.25">
      <c r="A17" s="499"/>
      <c r="B17" s="500"/>
      <c r="C17" s="501"/>
      <c r="D17" s="502"/>
      <c r="E17" s="502">
        <f t="shared" si="0"/>
        <v>2483.4000000000015</v>
      </c>
      <c r="F17" s="406"/>
      <c r="G17" s="503">
        <f t="shared" si="1"/>
        <v>2483.4</v>
      </c>
      <c r="H17" s="503">
        <f t="shared" si="2"/>
        <v>0</v>
      </c>
      <c r="I17" s="504"/>
    </row>
    <row r="18" spans="1:9" s="361" customFormat="1" ht="12.75" customHeight="1" x14ac:dyDescent="0.25">
      <c r="A18" s="499"/>
      <c r="B18" s="500"/>
      <c r="C18" s="501"/>
      <c r="D18" s="404"/>
      <c r="E18" s="502">
        <f t="shared" si="0"/>
        <v>2483.4000000000015</v>
      </c>
      <c r="F18" s="406"/>
      <c r="G18" s="503">
        <f t="shared" si="1"/>
        <v>2483.4</v>
      </c>
      <c r="H18" s="503">
        <f t="shared" si="2"/>
        <v>0</v>
      </c>
      <c r="I18" s="504"/>
    </row>
    <row r="19" spans="1:9" s="361" customFormat="1" ht="12.75" customHeight="1" x14ac:dyDescent="0.25">
      <c r="A19" s="499"/>
      <c r="B19" s="500"/>
      <c r="C19" s="501"/>
      <c r="D19" s="502"/>
      <c r="E19" s="502">
        <f t="shared" si="0"/>
        <v>2483.4000000000015</v>
      </c>
      <c r="F19" s="406"/>
      <c r="G19" s="503">
        <f t="shared" si="1"/>
        <v>2483.4</v>
      </c>
      <c r="H19" s="503">
        <f t="shared" si="2"/>
        <v>0</v>
      </c>
      <c r="I19" s="504"/>
    </row>
    <row r="20" spans="1:9" s="361" customFormat="1" ht="12.75" customHeight="1" x14ac:dyDescent="0.25">
      <c r="A20" s="499"/>
      <c r="B20" s="500"/>
      <c r="C20" s="501"/>
      <c r="D20" s="502"/>
      <c r="E20" s="502">
        <f t="shared" si="0"/>
        <v>2483.4000000000015</v>
      </c>
      <c r="F20" s="503"/>
      <c r="G20" s="503">
        <f t="shared" si="1"/>
        <v>2483.4</v>
      </c>
      <c r="H20" s="503">
        <f t="shared" si="2"/>
        <v>0</v>
      </c>
      <c r="I20" s="504"/>
    </row>
    <row r="21" spans="1:9" s="361" customFormat="1" ht="12.75" customHeight="1" x14ac:dyDescent="0.25">
      <c r="A21" s="499"/>
      <c r="B21" s="500"/>
      <c r="C21" s="514"/>
      <c r="D21" s="502"/>
      <c r="E21" s="502">
        <f t="shared" si="0"/>
        <v>2483.4000000000015</v>
      </c>
      <c r="F21" s="503"/>
      <c r="G21" s="503">
        <f t="shared" si="1"/>
        <v>2483.4</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54</v>
      </c>
      <c r="D23" s="405">
        <f>SUM(D9:D22)</f>
        <v>2483.4000000000015</v>
      </c>
      <c r="E23" s="405"/>
      <c r="F23" s="405">
        <f>SUM(F9:F22)</f>
        <v>2483.4</v>
      </c>
      <c r="G23" s="405"/>
      <c r="H23" s="405">
        <f>D23-F23</f>
        <v>0</v>
      </c>
      <c r="I23" s="533" t="s">
        <v>169</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518"/>
      <c r="B26" s="501" t="s">
        <v>1620</v>
      </c>
      <c r="C26" s="515" t="s">
        <v>1816</v>
      </c>
      <c r="D26" s="503">
        <f>16592-14212</f>
        <v>2380</v>
      </c>
      <c r="E26" s="503"/>
      <c r="F26" s="503">
        <f>1088+1292</f>
        <v>2380</v>
      </c>
      <c r="G26" s="503"/>
      <c r="H26" s="503">
        <f t="shared" ref="H26:H29" si="3">D26-F26</f>
        <v>0</v>
      </c>
      <c r="I26" s="504"/>
    </row>
    <row r="27" spans="1:9" s="361" customFormat="1" ht="12.75" customHeight="1" x14ac:dyDescent="0.25">
      <c r="A27" s="499"/>
      <c r="B27" s="501" t="s">
        <v>1621</v>
      </c>
      <c r="C27" s="515" t="s">
        <v>1617</v>
      </c>
      <c r="D27" s="503">
        <f>730-688.6</f>
        <v>41.399999999999977</v>
      </c>
      <c r="E27" s="503"/>
      <c r="F27" s="503">
        <f>41.4</f>
        <v>41.4</v>
      </c>
      <c r="G27" s="503"/>
      <c r="H27" s="503">
        <f t="shared" si="3"/>
        <v>0</v>
      </c>
      <c r="I27" s="504"/>
    </row>
    <row r="28" spans="1:9" s="361" customFormat="1" ht="12.75" customHeight="1" x14ac:dyDescent="0.25">
      <c r="A28" s="499"/>
      <c r="B28" s="501" t="s">
        <v>1622</v>
      </c>
      <c r="C28" s="515" t="s">
        <v>1618</v>
      </c>
      <c r="D28" s="503">
        <f>100-100</f>
        <v>0</v>
      </c>
      <c r="E28" s="503"/>
      <c r="F28" s="503"/>
      <c r="G28" s="503"/>
      <c r="H28" s="503">
        <f t="shared" si="3"/>
        <v>0</v>
      </c>
      <c r="I28" s="533"/>
    </row>
    <row r="29" spans="1:9" s="361" customFormat="1" ht="12.75" customHeight="1" x14ac:dyDescent="0.25">
      <c r="B29" s="501" t="s">
        <v>1623</v>
      </c>
      <c r="C29" s="361" t="s">
        <v>1619</v>
      </c>
      <c r="D29" s="503">
        <f>1075.2-1013.2</f>
        <v>62</v>
      </c>
      <c r="E29" s="503"/>
      <c r="F29" s="503">
        <f>62</f>
        <v>62</v>
      </c>
      <c r="G29" s="503"/>
      <c r="H29" s="503">
        <f t="shared" si="3"/>
        <v>0</v>
      </c>
    </row>
    <row r="30" spans="1:9" ht="15" customHeight="1" thickBot="1" x14ac:dyDescent="0.3">
      <c r="C30" s="282" t="s">
        <v>555</v>
      </c>
      <c r="D30" s="405">
        <f>SUM(D26:D29)</f>
        <v>2483.4</v>
      </c>
      <c r="E30" s="519"/>
      <c r="F30" s="405">
        <f>SUM(F26:F29)</f>
        <v>2483.4</v>
      </c>
      <c r="G30" s="519"/>
      <c r="H30" s="405">
        <f>SUM(H26:H29)</f>
        <v>0</v>
      </c>
    </row>
    <row r="31" spans="1:9"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45"/>
  <sheetViews>
    <sheetView tabSelected="1" topLeftCell="A15"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7" customWidth="1"/>
    <col min="5" max="5" width="13" customWidth="1"/>
    <col min="6" max="6" width="13.5703125" customWidth="1"/>
    <col min="7" max="7" width="12.42578125" customWidth="1"/>
    <col min="8" max="8" width="10.5703125" customWidth="1"/>
    <col min="9" max="9" width="13" customWidth="1"/>
  </cols>
  <sheetData>
    <row r="1" spans="1:10" ht="15.75" x14ac:dyDescent="0.25">
      <c r="A1" s="78" t="str">
        <f>'RECAP #9239.02'!B1</f>
        <v>DOC-NCF-IPI Homes or Iowa Facility Project Phase II(Warehouse)</v>
      </c>
      <c r="B1" s="79"/>
      <c r="C1" s="79"/>
      <c r="D1" s="6"/>
      <c r="E1" s="6"/>
      <c r="F1" s="6"/>
      <c r="G1" s="124"/>
      <c r="H1" s="124"/>
      <c r="I1" s="125"/>
      <c r="J1" s="125"/>
    </row>
    <row r="2" spans="1:10" ht="15.75" x14ac:dyDescent="0.25">
      <c r="A2" s="81" t="str">
        <f>'RECAP #9239.02'!B2</f>
        <v>Project # 9239.02</v>
      </c>
      <c r="B2" s="80"/>
      <c r="C2" s="80"/>
      <c r="D2" s="6"/>
      <c r="E2" s="6"/>
      <c r="F2" s="6"/>
      <c r="G2" s="124"/>
      <c r="H2" s="124"/>
      <c r="I2" s="125"/>
      <c r="J2" s="125"/>
    </row>
    <row r="3" spans="1:10" ht="15.75" x14ac:dyDescent="0.25">
      <c r="A3" s="82" t="str">
        <f>'RECAP #9239.02'!B3</f>
        <v>Program code 923902</v>
      </c>
      <c r="B3" s="80"/>
      <c r="C3" s="80"/>
      <c r="D3" s="6"/>
      <c r="E3" s="83" t="str">
        <f>'RECAP #9239.02'!E3</f>
        <v>Major Program 4B01</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66</v>
      </c>
      <c r="B5" s="130"/>
      <c r="C5" s="130"/>
      <c r="D5" s="131"/>
      <c r="E5" s="132"/>
      <c r="F5" s="133"/>
      <c r="G5" s="134"/>
      <c r="H5" s="134"/>
      <c r="I5" s="130"/>
      <c r="J5" s="125"/>
    </row>
    <row r="6" spans="1:10" ht="15.75" x14ac:dyDescent="0.25">
      <c r="A6" s="86" t="str">
        <f>'RECAP #9239.02'!B6</f>
        <v>Project Manager - Brad T.</v>
      </c>
      <c r="B6" s="86"/>
      <c r="C6" s="86"/>
      <c r="D6" s="135"/>
      <c r="E6" s="132" t="s">
        <v>372</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f>10000+35000</f>
        <v>45000</v>
      </c>
      <c r="F9" s="412">
        <f>E9</f>
        <v>45000</v>
      </c>
      <c r="G9" s="413"/>
      <c r="H9" s="413"/>
      <c r="I9" s="413">
        <f>F9</f>
        <v>45000</v>
      </c>
      <c r="J9" s="414"/>
    </row>
    <row r="10" spans="1:10" s="330" customFormat="1" ht="12.75" customHeight="1" x14ac:dyDescent="0.25">
      <c r="A10" s="456" t="s">
        <v>506</v>
      </c>
      <c r="B10" s="468">
        <v>45699</v>
      </c>
      <c r="C10" s="469">
        <v>2507</v>
      </c>
      <c r="D10" s="458" t="s">
        <v>507</v>
      </c>
      <c r="E10" s="412"/>
      <c r="F10" s="412">
        <f t="shared" ref="F10:F42" si="0">F9+E10</f>
        <v>45000</v>
      </c>
      <c r="G10" s="445">
        <f>45.72+56.8</f>
        <v>102.52</v>
      </c>
      <c r="H10" s="413">
        <f t="shared" ref="H10:H42" si="1">H9+G10</f>
        <v>102.52</v>
      </c>
      <c r="I10" s="413">
        <f t="shared" ref="I10:I42" si="2">I9-G10+E10</f>
        <v>44897.48</v>
      </c>
      <c r="J10" s="414"/>
    </row>
    <row r="11" spans="1:10" s="330" customFormat="1" ht="12.75" customHeight="1" x14ac:dyDescent="0.25">
      <c r="A11" s="456" t="s">
        <v>506</v>
      </c>
      <c r="B11" s="468">
        <v>45699</v>
      </c>
      <c r="C11" s="469">
        <v>9500</v>
      </c>
      <c r="D11" s="231" t="s">
        <v>508</v>
      </c>
      <c r="E11" s="412"/>
      <c r="F11" s="412">
        <f t="shared" si="0"/>
        <v>45000</v>
      </c>
      <c r="G11" s="445">
        <f>67+1026.3</f>
        <v>1093.3</v>
      </c>
      <c r="H11" s="413">
        <f t="shared" si="1"/>
        <v>1195.82</v>
      </c>
      <c r="I11" s="413">
        <f t="shared" si="2"/>
        <v>43804.18</v>
      </c>
      <c r="J11" s="414"/>
    </row>
    <row r="12" spans="1:10" s="330" customFormat="1" ht="12.75" customHeight="1" x14ac:dyDescent="0.25">
      <c r="A12" s="456" t="s">
        <v>559</v>
      </c>
      <c r="B12" s="409">
        <v>45723</v>
      </c>
      <c r="C12" s="457">
        <v>2507</v>
      </c>
      <c r="D12" s="458" t="s">
        <v>560</v>
      </c>
      <c r="E12" s="412"/>
      <c r="F12" s="412">
        <f t="shared" si="0"/>
        <v>45000</v>
      </c>
      <c r="G12" s="445">
        <f>27.94+102.38</f>
        <v>130.32</v>
      </c>
      <c r="H12" s="413">
        <f t="shared" si="1"/>
        <v>1326.1399999999999</v>
      </c>
      <c r="I12" s="413">
        <f t="shared" si="2"/>
        <v>43673.86</v>
      </c>
      <c r="J12" s="414"/>
    </row>
    <row r="13" spans="1:10" s="330" customFormat="1" ht="12.75" customHeight="1" x14ac:dyDescent="0.25">
      <c r="A13" s="456" t="s">
        <v>559</v>
      </c>
      <c r="B13" s="409">
        <v>45723</v>
      </c>
      <c r="C13" s="457">
        <v>9500</v>
      </c>
      <c r="D13" s="231" t="s">
        <v>561</v>
      </c>
      <c r="E13" s="412"/>
      <c r="F13" s="412">
        <f t="shared" si="0"/>
        <v>45000</v>
      </c>
      <c r="G13" s="445">
        <f>39+523.6</f>
        <v>562.6</v>
      </c>
      <c r="H13" s="413">
        <f t="shared" si="1"/>
        <v>1888.7399999999998</v>
      </c>
      <c r="I13" s="413">
        <f t="shared" si="2"/>
        <v>43111.26</v>
      </c>
      <c r="J13" s="414"/>
    </row>
    <row r="14" spans="1:10" s="330" customFormat="1" ht="12.75" customHeight="1" x14ac:dyDescent="0.25">
      <c r="A14" s="456" t="s">
        <v>656</v>
      </c>
      <c r="B14" s="409">
        <v>45756</v>
      </c>
      <c r="C14" s="457">
        <v>2507</v>
      </c>
      <c r="D14" s="458" t="s">
        <v>657</v>
      </c>
      <c r="E14" s="412"/>
      <c r="F14" s="412">
        <f t="shared" si="0"/>
        <v>45000</v>
      </c>
      <c r="G14" s="445">
        <f>62.65+91.16</f>
        <v>153.81</v>
      </c>
      <c r="H14" s="413">
        <f t="shared" si="1"/>
        <v>2042.5499999999997</v>
      </c>
      <c r="I14" s="413">
        <f t="shared" si="2"/>
        <v>42957.450000000004</v>
      </c>
      <c r="J14" s="414"/>
    </row>
    <row r="15" spans="1:10" s="330" customFormat="1" ht="12.75" customHeight="1" x14ac:dyDescent="0.25">
      <c r="A15" s="456" t="s">
        <v>656</v>
      </c>
      <c r="B15" s="409">
        <v>45756</v>
      </c>
      <c r="C15" s="457">
        <v>9500</v>
      </c>
      <c r="D15" s="231" t="s">
        <v>658</v>
      </c>
      <c r="E15" s="412"/>
      <c r="F15" s="412">
        <f t="shared" si="0"/>
        <v>45000</v>
      </c>
      <c r="G15" s="445">
        <f>86+1015.3</f>
        <v>1101.3</v>
      </c>
      <c r="H15" s="413">
        <f t="shared" si="1"/>
        <v>3143.8499999999995</v>
      </c>
      <c r="I15" s="413">
        <f t="shared" si="2"/>
        <v>41856.15</v>
      </c>
      <c r="J15" s="414"/>
    </row>
    <row r="16" spans="1:10" s="330" customFormat="1" ht="12.75" customHeight="1" x14ac:dyDescent="0.25">
      <c r="A16" s="456" t="s">
        <v>727</v>
      </c>
      <c r="B16" s="409">
        <v>45786</v>
      </c>
      <c r="C16" s="457">
        <v>2507</v>
      </c>
      <c r="D16" s="458" t="s">
        <v>729</v>
      </c>
      <c r="E16" s="412"/>
      <c r="F16" s="412">
        <f t="shared" si="0"/>
        <v>45000</v>
      </c>
      <c r="G16" s="445">
        <f>52.07+70.12</f>
        <v>122.19</v>
      </c>
      <c r="H16" s="413">
        <f t="shared" si="1"/>
        <v>3266.0399999999995</v>
      </c>
      <c r="I16" s="413">
        <f t="shared" si="2"/>
        <v>41733.96</v>
      </c>
      <c r="J16" s="414"/>
    </row>
    <row r="17" spans="1:10" s="330" customFormat="1" ht="12.75" customHeight="1" x14ac:dyDescent="0.25">
      <c r="A17" s="456" t="s">
        <v>727</v>
      </c>
      <c r="B17" s="409">
        <v>45786</v>
      </c>
      <c r="C17" s="457">
        <v>9500</v>
      </c>
      <c r="D17" s="231" t="s">
        <v>730</v>
      </c>
      <c r="E17" s="412"/>
      <c r="F17" s="412">
        <f t="shared" si="0"/>
        <v>45000</v>
      </c>
      <c r="G17" s="445">
        <f>65.5+773.3</f>
        <v>838.8</v>
      </c>
      <c r="H17" s="413">
        <f t="shared" si="1"/>
        <v>4104.8399999999992</v>
      </c>
      <c r="I17" s="413">
        <f t="shared" si="2"/>
        <v>40895.159999999996</v>
      </c>
      <c r="J17" s="414"/>
    </row>
    <row r="18" spans="1:10" s="330" customFormat="1" ht="12.75" customHeight="1" x14ac:dyDescent="0.25">
      <c r="A18" s="456" t="s">
        <v>822</v>
      </c>
      <c r="B18" s="409">
        <v>45817</v>
      </c>
      <c r="C18" s="457">
        <v>2507</v>
      </c>
      <c r="D18" s="458" t="s">
        <v>823</v>
      </c>
      <c r="E18" s="412"/>
      <c r="F18" s="412">
        <f t="shared" si="0"/>
        <v>45000</v>
      </c>
      <c r="G18" s="445">
        <f>74.5+61</f>
        <v>135.5</v>
      </c>
      <c r="H18" s="413">
        <f t="shared" si="1"/>
        <v>4240.3399999999992</v>
      </c>
      <c r="I18" s="413">
        <f t="shared" si="2"/>
        <v>40759.659999999996</v>
      </c>
      <c r="J18" s="414"/>
    </row>
    <row r="19" spans="1:10" s="330" customFormat="1" ht="12.75" customHeight="1" x14ac:dyDescent="0.25">
      <c r="A19" s="456" t="s">
        <v>822</v>
      </c>
      <c r="B19" s="409">
        <v>45817</v>
      </c>
      <c r="C19" s="457">
        <v>9500</v>
      </c>
      <c r="D19" s="231" t="s">
        <v>824</v>
      </c>
      <c r="E19" s="412"/>
      <c r="F19" s="412">
        <f t="shared" si="0"/>
        <v>45000</v>
      </c>
      <c r="G19" s="445">
        <f>86.5+974.6</f>
        <v>1061.0999999999999</v>
      </c>
      <c r="H19" s="413">
        <f t="shared" si="1"/>
        <v>5301.4399999999987</v>
      </c>
      <c r="I19" s="413">
        <f t="shared" si="2"/>
        <v>39698.559999999998</v>
      </c>
      <c r="J19" s="414"/>
    </row>
    <row r="20" spans="1:10" s="330" customFormat="1" ht="12.75" customHeight="1" x14ac:dyDescent="0.25">
      <c r="A20" s="456" t="s">
        <v>942</v>
      </c>
      <c r="B20" s="409">
        <v>45848</v>
      </c>
      <c r="C20" s="457">
        <v>2507</v>
      </c>
      <c r="D20" s="458" t="s">
        <v>943</v>
      </c>
      <c r="E20" s="412"/>
      <c r="F20" s="412">
        <f t="shared" si="0"/>
        <v>45000</v>
      </c>
      <c r="G20" s="445">
        <f>45.29+52.59</f>
        <v>97.88</v>
      </c>
      <c r="H20" s="413">
        <f t="shared" si="1"/>
        <v>5399.3199999999988</v>
      </c>
      <c r="I20" s="413">
        <f t="shared" si="2"/>
        <v>39600.68</v>
      </c>
      <c r="J20" s="414"/>
    </row>
    <row r="21" spans="1:10" s="330" customFormat="1" ht="12.75" customHeight="1" x14ac:dyDescent="0.25">
      <c r="A21" s="456" t="s">
        <v>942</v>
      </c>
      <c r="B21" s="409">
        <v>45848</v>
      </c>
      <c r="C21" s="457">
        <v>9500</v>
      </c>
      <c r="D21" s="231" t="s">
        <v>944</v>
      </c>
      <c r="E21" s="412"/>
      <c r="F21" s="412">
        <f t="shared" si="0"/>
        <v>45000</v>
      </c>
      <c r="G21" s="445">
        <f>67+691.9</f>
        <v>758.9</v>
      </c>
      <c r="H21" s="413">
        <f t="shared" si="1"/>
        <v>6158.2199999999984</v>
      </c>
      <c r="I21" s="413">
        <f t="shared" si="2"/>
        <v>38841.78</v>
      </c>
      <c r="J21" s="414"/>
    </row>
    <row r="22" spans="1:10" s="330" customFormat="1" ht="12.75" customHeight="1" x14ac:dyDescent="0.25">
      <c r="A22" s="456" t="s">
        <v>1009</v>
      </c>
      <c r="B22" s="409">
        <v>45876</v>
      </c>
      <c r="C22" s="457">
        <v>2507</v>
      </c>
      <c r="D22" s="458" t="s">
        <v>1010</v>
      </c>
      <c r="E22" s="412"/>
      <c r="F22" s="412">
        <f t="shared" si="0"/>
        <v>45000</v>
      </c>
      <c r="G22" s="445">
        <f>28.93+41.32</f>
        <v>70.25</v>
      </c>
      <c r="H22" s="413">
        <f t="shared" si="1"/>
        <v>6228.4699999999984</v>
      </c>
      <c r="I22" s="413">
        <f t="shared" si="2"/>
        <v>38771.53</v>
      </c>
      <c r="J22" s="414"/>
    </row>
    <row r="23" spans="1:10" s="330" customFormat="1" ht="12.75" customHeight="1" x14ac:dyDescent="0.25">
      <c r="A23" s="456" t="s">
        <v>1009</v>
      </c>
      <c r="B23" s="409">
        <v>45876</v>
      </c>
      <c r="C23" s="457">
        <v>9500</v>
      </c>
      <c r="D23" s="231" t="s">
        <v>1011</v>
      </c>
      <c r="E23" s="412"/>
      <c r="F23" s="412">
        <f t="shared" si="0"/>
        <v>45000</v>
      </c>
      <c r="G23" s="445">
        <f>51.5+726</f>
        <v>777.5</v>
      </c>
      <c r="H23" s="413">
        <f t="shared" si="1"/>
        <v>7005.9699999999984</v>
      </c>
      <c r="I23" s="413">
        <f t="shared" si="2"/>
        <v>37994.03</v>
      </c>
      <c r="J23" s="414"/>
    </row>
    <row r="24" spans="1:10" s="330" customFormat="1" ht="12.75" customHeight="1" x14ac:dyDescent="0.25">
      <c r="A24" s="456" t="s">
        <v>1177</v>
      </c>
      <c r="B24" s="409">
        <v>45908</v>
      </c>
      <c r="C24" s="457">
        <v>2507</v>
      </c>
      <c r="D24" s="458" t="s">
        <v>1182</v>
      </c>
      <c r="E24" s="412"/>
      <c r="F24" s="412">
        <f t="shared" si="0"/>
        <v>45000</v>
      </c>
      <c r="G24" s="445">
        <v>94.58</v>
      </c>
      <c r="H24" s="413">
        <f t="shared" si="1"/>
        <v>7100.5499999999984</v>
      </c>
      <c r="I24" s="413">
        <f t="shared" si="2"/>
        <v>37899.449999999997</v>
      </c>
      <c r="J24" s="414"/>
    </row>
    <row r="25" spans="1:10" s="330" customFormat="1" ht="12.75" customHeight="1" x14ac:dyDescent="0.25">
      <c r="A25" s="456" t="s">
        <v>1177</v>
      </c>
      <c r="B25" s="409">
        <v>45908</v>
      </c>
      <c r="C25" s="457">
        <v>9500</v>
      </c>
      <c r="D25" s="231" t="s">
        <v>1181</v>
      </c>
      <c r="E25" s="412"/>
      <c r="F25" s="412">
        <f t="shared" si="0"/>
        <v>45000</v>
      </c>
      <c r="G25" s="445">
        <v>732.6</v>
      </c>
      <c r="H25" s="413">
        <f t="shared" si="1"/>
        <v>7833.1499999999987</v>
      </c>
      <c r="I25" s="413">
        <f t="shared" si="2"/>
        <v>37166.85</v>
      </c>
      <c r="J25" s="414"/>
    </row>
    <row r="26" spans="1:10" s="330" customFormat="1" ht="12.75" customHeight="1" x14ac:dyDescent="0.25">
      <c r="A26" s="456" t="s">
        <v>1233</v>
      </c>
      <c r="B26" s="409">
        <v>45937</v>
      </c>
      <c r="C26" s="457" t="s">
        <v>1234</v>
      </c>
      <c r="D26" s="458" t="s">
        <v>1235</v>
      </c>
      <c r="E26" s="412"/>
      <c r="F26" s="412">
        <f t="shared" si="0"/>
        <v>45000</v>
      </c>
      <c r="G26" s="445">
        <v>200.5</v>
      </c>
      <c r="H26" s="413">
        <f t="shared" si="1"/>
        <v>8033.6499999999987</v>
      </c>
      <c r="I26" s="413">
        <f t="shared" si="2"/>
        <v>36966.35</v>
      </c>
      <c r="J26" s="414"/>
    </row>
    <row r="27" spans="1:10" s="330" customFormat="1" ht="12.75" customHeight="1" x14ac:dyDescent="0.25">
      <c r="A27" s="456" t="s">
        <v>1233</v>
      </c>
      <c r="B27" s="409">
        <v>45937</v>
      </c>
      <c r="C27" s="457">
        <v>9500</v>
      </c>
      <c r="D27" s="231" t="s">
        <v>1236</v>
      </c>
      <c r="E27" s="412"/>
      <c r="F27" s="412">
        <f t="shared" si="0"/>
        <v>45000</v>
      </c>
      <c r="G27" s="445">
        <v>1045.5999999999999</v>
      </c>
      <c r="H27" s="413">
        <f t="shared" si="1"/>
        <v>9079.2499999999982</v>
      </c>
      <c r="I27" s="413">
        <f t="shared" si="2"/>
        <v>35920.75</v>
      </c>
      <c r="J27" s="414"/>
    </row>
    <row r="28" spans="1:10" s="330" customFormat="1" ht="12.75" customHeight="1" x14ac:dyDescent="0.25">
      <c r="A28" s="456" t="s">
        <v>1322</v>
      </c>
      <c r="B28" s="409">
        <v>45968</v>
      </c>
      <c r="C28" s="457" t="s">
        <v>1234</v>
      </c>
      <c r="D28" s="458" t="s">
        <v>1327</v>
      </c>
      <c r="E28" s="412"/>
      <c r="F28" s="412">
        <f t="shared" si="0"/>
        <v>45000</v>
      </c>
      <c r="G28" s="445">
        <v>131</v>
      </c>
      <c r="H28" s="413">
        <f t="shared" si="1"/>
        <v>9210.2499999999982</v>
      </c>
      <c r="I28" s="413">
        <f t="shared" si="2"/>
        <v>35789.75</v>
      </c>
      <c r="J28" s="414"/>
    </row>
    <row r="29" spans="1:10" s="330" customFormat="1" ht="12.75" customHeight="1" x14ac:dyDescent="0.25">
      <c r="A29" s="456" t="s">
        <v>1322</v>
      </c>
      <c r="B29" s="409">
        <v>45968</v>
      </c>
      <c r="C29" s="457">
        <v>9500</v>
      </c>
      <c r="D29" s="231" t="s">
        <v>1326</v>
      </c>
      <c r="E29" s="412"/>
      <c r="F29" s="412">
        <f t="shared" si="0"/>
        <v>45000</v>
      </c>
      <c r="G29" s="445">
        <v>1297.3</v>
      </c>
      <c r="H29" s="413">
        <f t="shared" si="1"/>
        <v>10507.549999999997</v>
      </c>
      <c r="I29" s="413">
        <f t="shared" si="2"/>
        <v>34492.449999999997</v>
      </c>
      <c r="J29" s="414"/>
    </row>
    <row r="30" spans="1:10" s="330" customFormat="1" ht="12.75" customHeight="1" x14ac:dyDescent="0.2">
      <c r="A30" s="169" t="s">
        <v>1423</v>
      </c>
      <c r="B30" s="145">
        <v>45996</v>
      </c>
      <c r="C30" s="147" t="s">
        <v>1234</v>
      </c>
      <c r="D30" s="222" t="s">
        <v>1424</v>
      </c>
      <c r="E30" s="412"/>
      <c r="F30" s="412">
        <f t="shared" si="0"/>
        <v>45000</v>
      </c>
      <c r="G30" s="445">
        <v>151.57</v>
      </c>
      <c r="H30" s="413">
        <f t="shared" si="1"/>
        <v>10659.119999999997</v>
      </c>
      <c r="I30" s="413">
        <f t="shared" si="2"/>
        <v>34340.879999999997</v>
      </c>
      <c r="J30" s="414"/>
    </row>
    <row r="31" spans="1:10" s="330" customFormat="1" ht="12.75" customHeight="1" x14ac:dyDescent="0.2">
      <c r="A31" s="169" t="s">
        <v>1423</v>
      </c>
      <c r="B31" s="145">
        <v>45996</v>
      </c>
      <c r="C31" s="346">
        <v>9500</v>
      </c>
      <c r="D31" s="119" t="s">
        <v>1425</v>
      </c>
      <c r="E31" s="412"/>
      <c r="F31" s="412">
        <f t="shared" si="0"/>
        <v>45000</v>
      </c>
      <c r="G31" s="445">
        <v>963.5</v>
      </c>
      <c r="H31" s="413">
        <f t="shared" si="1"/>
        <v>11622.619999999997</v>
      </c>
      <c r="I31" s="413">
        <f t="shared" si="2"/>
        <v>33377.379999999997</v>
      </c>
      <c r="J31" s="414"/>
    </row>
    <row r="32" spans="1:10" s="330" customFormat="1" ht="12.75" customHeight="1" x14ac:dyDescent="0.2">
      <c r="A32" s="169" t="s">
        <v>1482</v>
      </c>
      <c r="B32" s="145">
        <v>46030</v>
      </c>
      <c r="C32" s="147" t="s">
        <v>1234</v>
      </c>
      <c r="D32" s="222" t="s">
        <v>1483</v>
      </c>
      <c r="E32" s="412"/>
      <c r="F32" s="412">
        <f t="shared" si="0"/>
        <v>45000</v>
      </c>
      <c r="G32" s="445">
        <v>125.38</v>
      </c>
      <c r="H32" s="413">
        <f t="shared" si="1"/>
        <v>11747.999999999996</v>
      </c>
      <c r="I32" s="413">
        <f t="shared" si="2"/>
        <v>33252</v>
      </c>
      <c r="J32" s="414"/>
    </row>
    <row r="33" spans="1:10" s="330" customFormat="1" ht="12.75" customHeight="1" x14ac:dyDescent="0.2">
      <c r="A33" s="169" t="s">
        <v>1482</v>
      </c>
      <c r="B33" s="145">
        <v>46030</v>
      </c>
      <c r="C33" s="346">
        <v>9500</v>
      </c>
      <c r="D33" s="119" t="s">
        <v>1484</v>
      </c>
      <c r="E33" s="412"/>
      <c r="F33" s="412">
        <f t="shared" si="0"/>
        <v>45000</v>
      </c>
      <c r="G33" s="445">
        <v>1418.8</v>
      </c>
      <c r="H33" s="413">
        <f t="shared" si="1"/>
        <v>13166.799999999996</v>
      </c>
      <c r="I33" s="413">
        <f t="shared" si="2"/>
        <v>31833.200000000001</v>
      </c>
      <c r="J33" s="414"/>
    </row>
    <row r="34" spans="1:10" s="330" customFormat="1" ht="12.75" customHeight="1" x14ac:dyDescent="0.2">
      <c r="A34" s="169" t="s">
        <v>1545</v>
      </c>
      <c r="B34" s="145">
        <v>46062</v>
      </c>
      <c r="C34" s="147" t="s">
        <v>1234</v>
      </c>
      <c r="D34" s="222" t="s">
        <v>1546</v>
      </c>
      <c r="E34" s="412"/>
      <c r="F34" s="412">
        <f t="shared" si="0"/>
        <v>45000</v>
      </c>
      <c r="G34" s="445">
        <v>97.81</v>
      </c>
      <c r="H34" s="413">
        <f t="shared" si="1"/>
        <v>13264.609999999995</v>
      </c>
      <c r="I34" s="413">
        <f t="shared" si="2"/>
        <v>31735.39</v>
      </c>
      <c r="J34" s="414"/>
    </row>
    <row r="35" spans="1:10" s="330" customFormat="1" ht="12.75" customHeight="1" x14ac:dyDescent="0.2">
      <c r="A35" s="169" t="s">
        <v>1545</v>
      </c>
      <c r="B35" s="145">
        <v>46062</v>
      </c>
      <c r="C35" s="346">
        <v>9500</v>
      </c>
      <c r="D35" s="119" t="s">
        <v>1547</v>
      </c>
      <c r="E35" s="412"/>
      <c r="F35" s="412">
        <f t="shared" si="0"/>
        <v>45000</v>
      </c>
      <c r="G35" s="445">
        <v>1214.9000000000001</v>
      </c>
      <c r="H35" s="413">
        <f t="shared" si="1"/>
        <v>14479.509999999995</v>
      </c>
      <c r="I35" s="413">
        <f t="shared" si="2"/>
        <v>30520.489999999998</v>
      </c>
      <c r="J35" s="414"/>
    </row>
    <row r="36" spans="1:10" s="330" customFormat="1" ht="12.75" customHeight="1" x14ac:dyDescent="0.2">
      <c r="A36" s="169" t="s">
        <v>1663</v>
      </c>
      <c r="B36" s="145">
        <v>46090</v>
      </c>
      <c r="C36" s="147" t="s">
        <v>1234</v>
      </c>
      <c r="D36" s="222" t="s">
        <v>1664</v>
      </c>
      <c r="E36" s="412"/>
      <c r="F36" s="412">
        <f t="shared" si="0"/>
        <v>45000</v>
      </c>
      <c r="G36" s="445">
        <v>127.02</v>
      </c>
      <c r="H36" s="413">
        <f t="shared" si="1"/>
        <v>14606.529999999995</v>
      </c>
      <c r="I36" s="413">
        <f t="shared" si="2"/>
        <v>30393.469999999998</v>
      </c>
      <c r="J36" s="414"/>
    </row>
    <row r="37" spans="1:10" s="330" customFormat="1" ht="12.75" customHeight="1" x14ac:dyDescent="0.2">
      <c r="A37" s="169" t="s">
        <v>1663</v>
      </c>
      <c r="B37" s="145">
        <v>46090</v>
      </c>
      <c r="C37" s="346">
        <v>9500</v>
      </c>
      <c r="D37" s="119" t="s">
        <v>1665</v>
      </c>
      <c r="E37" s="412"/>
      <c r="F37" s="412">
        <f t="shared" si="0"/>
        <v>45000</v>
      </c>
      <c r="G37" s="445">
        <v>1466.9</v>
      </c>
      <c r="H37" s="413">
        <f t="shared" si="1"/>
        <v>16073.429999999995</v>
      </c>
      <c r="I37" s="413">
        <f t="shared" si="2"/>
        <v>28926.569999999996</v>
      </c>
      <c r="J37" s="414"/>
    </row>
    <row r="38" spans="1:10" s="330" customFormat="1" ht="12.75" customHeight="1" x14ac:dyDescent="0.2">
      <c r="A38" s="169" t="s">
        <v>1751</v>
      </c>
      <c r="B38" s="145">
        <v>46118</v>
      </c>
      <c r="C38" s="147" t="s">
        <v>1234</v>
      </c>
      <c r="D38" s="222" t="s">
        <v>1752</v>
      </c>
      <c r="E38" s="412"/>
      <c r="F38" s="412">
        <f t="shared" si="0"/>
        <v>45000</v>
      </c>
      <c r="G38" s="445">
        <v>259.13</v>
      </c>
      <c r="H38" s="413">
        <f t="shared" si="1"/>
        <v>16332.559999999994</v>
      </c>
      <c r="I38" s="413">
        <f t="shared" si="2"/>
        <v>28667.439999999995</v>
      </c>
      <c r="J38" s="414"/>
    </row>
    <row r="39" spans="1:10" s="330" customFormat="1" ht="12.75" customHeight="1" x14ac:dyDescent="0.2">
      <c r="A39" s="169" t="s">
        <v>1751</v>
      </c>
      <c r="B39" s="145">
        <v>46118</v>
      </c>
      <c r="C39" s="346">
        <v>9500</v>
      </c>
      <c r="D39" s="119" t="s">
        <v>1753</v>
      </c>
      <c r="E39" s="412"/>
      <c r="F39" s="412">
        <f t="shared" si="0"/>
        <v>45000</v>
      </c>
      <c r="G39" s="445">
        <v>2098.6</v>
      </c>
      <c r="H39" s="413">
        <f t="shared" si="1"/>
        <v>18431.159999999993</v>
      </c>
      <c r="I39" s="413">
        <f t="shared" si="2"/>
        <v>26568.839999999997</v>
      </c>
      <c r="J39" s="414"/>
    </row>
    <row r="40" spans="1:10" s="330" customFormat="1" ht="12.75" customHeight="1" x14ac:dyDescent="0.2">
      <c r="A40" s="169"/>
      <c r="B40" s="145"/>
      <c r="C40" s="346"/>
      <c r="D40" s="119"/>
      <c r="E40" s="412"/>
      <c r="F40" s="412">
        <f t="shared" si="0"/>
        <v>45000</v>
      </c>
      <c r="G40" s="422"/>
      <c r="H40" s="413">
        <f t="shared" si="1"/>
        <v>18431.159999999993</v>
      </c>
      <c r="I40" s="413">
        <f t="shared" si="2"/>
        <v>26568.839999999997</v>
      </c>
      <c r="J40" s="414"/>
    </row>
    <row r="41" spans="1:10" s="330" customFormat="1" ht="12.75" customHeight="1" x14ac:dyDescent="0.2">
      <c r="A41" s="169"/>
      <c r="B41" s="145"/>
      <c r="C41" s="346"/>
      <c r="D41" s="119"/>
      <c r="E41" s="412"/>
      <c r="F41" s="412">
        <f t="shared" si="0"/>
        <v>45000</v>
      </c>
      <c r="G41" s="422"/>
      <c r="H41" s="413">
        <f t="shared" si="1"/>
        <v>18431.159999999993</v>
      </c>
      <c r="I41" s="413">
        <f t="shared" si="2"/>
        <v>26568.839999999997</v>
      </c>
      <c r="J41" s="414"/>
    </row>
    <row r="42" spans="1:10" s="330" customFormat="1" ht="12.75" customHeight="1" x14ac:dyDescent="0.25">
      <c r="A42" s="456"/>
      <c r="B42" s="409"/>
      <c r="C42" s="457"/>
      <c r="D42" s="231"/>
      <c r="E42" s="412"/>
      <c r="F42" s="412">
        <f t="shared" si="0"/>
        <v>45000</v>
      </c>
      <c r="G42" s="445"/>
      <c r="H42" s="413">
        <f t="shared" si="1"/>
        <v>18431.159999999993</v>
      </c>
      <c r="I42" s="413">
        <f t="shared" si="2"/>
        <v>26568.839999999997</v>
      </c>
      <c r="J42" s="414"/>
    </row>
    <row r="43" spans="1:10" s="330" customFormat="1" ht="12.75" customHeight="1" x14ac:dyDescent="0.25">
      <c r="A43" s="231"/>
      <c r="B43" s="410"/>
      <c r="C43" s="457"/>
      <c r="D43" s="425"/>
      <c r="E43" s="413"/>
      <c r="F43" s="413"/>
      <c r="G43" s="413"/>
      <c r="H43" s="413"/>
      <c r="I43" s="413"/>
      <c r="J43" s="414"/>
    </row>
    <row r="44" spans="1:10" s="330" customFormat="1" ht="12.75" customHeight="1" thickBot="1" x14ac:dyDescent="0.3">
      <c r="A44" s="231"/>
      <c r="B44" s="449"/>
      <c r="C44" s="457"/>
      <c r="D44" s="450" t="s">
        <v>54</v>
      </c>
      <c r="E44" s="426">
        <f>SUM(E9:E43)</f>
        <v>45000</v>
      </c>
      <c r="F44" s="426"/>
      <c r="G44" s="426">
        <f>SUM(G9:G43)</f>
        <v>18431.159999999993</v>
      </c>
      <c r="H44" s="426"/>
      <c r="I44" s="426">
        <f>E44-G44</f>
        <v>26568.840000000007</v>
      </c>
      <c r="J44" s="414"/>
    </row>
    <row r="45" spans="1:10" s="330" customFormat="1" ht="12.75" customHeight="1" thickTop="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6A5E-7D60-4F31-86D1-C76624099F0E}">
  <sheetPr codeName="Sheet50">
    <pageSetUpPr fitToPage="1"/>
  </sheetPr>
  <dimension ref="A1:I31"/>
  <sheetViews>
    <sheetView tabSelected="1" topLeftCell="A3"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1.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1648</v>
      </c>
      <c r="B4" s="126"/>
      <c r="C4" s="127"/>
      <c r="D4" s="128" t="s">
        <v>189</v>
      </c>
      <c r="E4" s="124"/>
      <c r="F4" s="124"/>
      <c r="G4" s="124"/>
      <c r="H4" s="125"/>
      <c r="I4" s="125"/>
    </row>
    <row r="5" spans="1:9" ht="15.75" x14ac:dyDescent="0.25">
      <c r="A5" s="129" t="s">
        <v>109</v>
      </c>
      <c r="B5" s="130"/>
      <c r="C5" s="131"/>
      <c r="D5" s="132" t="s">
        <v>190</v>
      </c>
      <c r="E5" s="133"/>
      <c r="F5" s="134"/>
      <c r="G5" s="134"/>
      <c r="H5" s="130"/>
      <c r="I5" s="125"/>
    </row>
    <row r="6" spans="1:9" ht="15.75" x14ac:dyDescent="0.25">
      <c r="A6" s="86" t="str">
        <f>'RECAP #9279.40'!B6</f>
        <v>Project Manager - Jennifer K.</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1649</v>
      </c>
      <c r="B9" s="409">
        <v>46084</v>
      </c>
      <c r="C9" s="410" t="s">
        <v>107</v>
      </c>
      <c r="D9" s="411">
        <v>147749.88</v>
      </c>
      <c r="E9" s="412">
        <f>D9</f>
        <v>147749.88</v>
      </c>
      <c r="F9" s="445"/>
      <c r="G9" s="413"/>
      <c r="H9" s="413">
        <f>E9</f>
        <v>147749.88</v>
      </c>
      <c r="I9" s="414"/>
    </row>
    <row r="10" spans="1:9" s="330" customFormat="1" ht="12.75" customHeight="1" x14ac:dyDescent="0.25">
      <c r="A10" s="408" t="s">
        <v>1787</v>
      </c>
      <c r="B10" s="240">
        <v>46133</v>
      </c>
      <c r="C10" s="410" t="s">
        <v>1788</v>
      </c>
      <c r="D10" s="411"/>
      <c r="E10" s="412">
        <f t="shared" ref="E10:E21" si="0">E9+D10</f>
        <v>147749.88</v>
      </c>
      <c r="F10" s="445">
        <v>3892.16</v>
      </c>
      <c r="G10" s="413">
        <f t="shared" ref="G10:G21" si="1">G9+F10</f>
        <v>3892.16</v>
      </c>
      <c r="H10" s="413">
        <f t="shared" ref="H10:H21" si="2">H9-F10+D10</f>
        <v>143857.72</v>
      </c>
      <c r="I10" s="414"/>
    </row>
    <row r="11" spans="1:9" s="330" customFormat="1" ht="12.75" customHeight="1" x14ac:dyDescent="0.25">
      <c r="A11" s="408"/>
      <c r="B11" s="409"/>
      <c r="C11" s="410"/>
      <c r="D11" s="412"/>
      <c r="E11" s="412">
        <f t="shared" si="0"/>
        <v>147749.88</v>
      </c>
      <c r="F11" s="445"/>
      <c r="G11" s="413">
        <f t="shared" si="1"/>
        <v>3892.16</v>
      </c>
      <c r="H11" s="413">
        <f t="shared" si="2"/>
        <v>143857.72</v>
      </c>
      <c r="I11" s="448"/>
    </row>
    <row r="12" spans="1:9" s="330" customFormat="1" ht="12.75" customHeight="1" x14ac:dyDescent="0.25">
      <c r="A12" s="408"/>
      <c r="B12" s="409"/>
      <c r="C12" s="410"/>
      <c r="D12" s="411"/>
      <c r="E12" s="412">
        <f t="shared" si="0"/>
        <v>147749.88</v>
      </c>
      <c r="F12" s="445"/>
      <c r="G12" s="413">
        <f t="shared" si="1"/>
        <v>3892.16</v>
      </c>
      <c r="H12" s="413">
        <f t="shared" si="2"/>
        <v>143857.72</v>
      </c>
      <c r="I12" s="414"/>
    </row>
    <row r="13" spans="1:9" s="330" customFormat="1" ht="12.75" customHeight="1" x14ac:dyDescent="0.25">
      <c r="A13" s="408"/>
      <c r="B13" s="240"/>
      <c r="C13" s="410"/>
      <c r="D13" s="412"/>
      <c r="E13" s="412">
        <f t="shared" si="0"/>
        <v>147749.88</v>
      </c>
      <c r="F13" s="445"/>
      <c r="G13" s="413">
        <f t="shared" si="1"/>
        <v>3892.16</v>
      </c>
      <c r="H13" s="413">
        <f t="shared" si="2"/>
        <v>143857.72</v>
      </c>
      <c r="I13" s="414"/>
    </row>
    <row r="14" spans="1:9" s="330" customFormat="1" ht="12.75" customHeight="1" x14ac:dyDescent="0.25">
      <c r="A14" s="408"/>
      <c r="B14" s="409"/>
      <c r="C14" s="410"/>
      <c r="D14" s="412"/>
      <c r="E14" s="412">
        <f t="shared" si="0"/>
        <v>147749.88</v>
      </c>
      <c r="F14" s="422"/>
      <c r="G14" s="413">
        <f t="shared" si="1"/>
        <v>3892.16</v>
      </c>
      <c r="H14" s="413">
        <f t="shared" si="2"/>
        <v>143857.72</v>
      </c>
      <c r="I14" s="414"/>
    </row>
    <row r="15" spans="1:9" s="330" customFormat="1" ht="12.75" customHeight="1" x14ac:dyDescent="0.25">
      <c r="A15" s="408"/>
      <c r="B15" s="409"/>
      <c r="C15" s="410"/>
      <c r="D15" s="411"/>
      <c r="E15" s="412">
        <f t="shared" si="0"/>
        <v>147749.88</v>
      </c>
      <c r="F15" s="422"/>
      <c r="G15" s="413">
        <f t="shared" si="1"/>
        <v>3892.16</v>
      </c>
      <c r="H15" s="413">
        <f t="shared" si="2"/>
        <v>143857.72</v>
      </c>
      <c r="I15" s="414"/>
    </row>
    <row r="16" spans="1:9" s="330" customFormat="1" ht="12.75" customHeight="1" x14ac:dyDescent="0.25">
      <c r="A16" s="408"/>
      <c r="B16" s="409"/>
      <c r="C16" s="410"/>
      <c r="D16" s="412"/>
      <c r="E16" s="412">
        <f t="shared" si="0"/>
        <v>147749.88</v>
      </c>
      <c r="F16" s="445"/>
      <c r="G16" s="413">
        <f t="shared" si="1"/>
        <v>3892.16</v>
      </c>
      <c r="H16" s="413">
        <f t="shared" si="2"/>
        <v>143857.72</v>
      </c>
      <c r="I16" s="414"/>
    </row>
    <row r="17" spans="1:9" s="330" customFormat="1" ht="12.75" customHeight="1" x14ac:dyDescent="0.25">
      <c r="A17" s="408"/>
      <c r="B17" s="409"/>
      <c r="C17" s="410"/>
      <c r="D17" s="412"/>
      <c r="E17" s="412">
        <f t="shared" si="0"/>
        <v>147749.88</v>
      </c>
      <c r="F17" s="445"/>
      <c r="G17" s="413">
        <f t="shared" si="1"/>
        <v>3892.16</v>
      </c>
      <c r="H17" s="413">
        <f t="shared" si="2"/>
        <v>143857.72</v>
      </c>
      <c r="I17" s="414"/>
    </row>
    <row r="18" spans="1:9" s="330" customFormat="1" ht="12.75" customHeight="1" x14ac:dyDescent="0.25">
      <c r="A18" s="408"/>
      <c r="B18" s="409"/>
      <c r="C18" s="410"/>
      <c r="D18" s="411"/>
      <c r="E18" s="412">
        <f t="shared" si="0"/>
        <v>147749.88</v>
      </c>
      <c r="F18" s="422"/>
      <c r="G18" s="413">
        <f t="shared" si="1"/>
        <v>3892.16</v>
      </c>
      <c r="H18" s="413">
        <f t="shared" si="2"/>
        <v>143857.72</v>
      </c>
      <c r="I18" s="414"/>
    </row>
    <row r="19" spans="1:9" s="330" customFormat="1" ht="12.75" customHeight="1" x14ac:dyDescent="0.25">
      <c r="A19" s="408"/>
      <c r="B19" s="409"/>
      <c r="C19" s="410"/>
      <c r="D19" s="412"/>
      <c r="E19" s="412">
        <f t="shared" si="0"/>
        <v>147749.88</v>
      </c>
      <c r="F19" s="422"/>
      <c r="G19" s="413">
        <f t="shared" si="1"/>
        <v>3892.16</v>
      </c>
      <c r="H19" s="413">
        <f t="shared" si="2"/>
        <v>143857.72</v>
      </c>
      <c r="I19" s="414"/>
    </row>
    <row r="20" spans="1:9" s="330" customFormat="1" ht="12.75" customHeight="1" x14ac:dyDescent="0.25">
      <c r="A20" s="408"/>
      <c r="B20" s="409"/>
      <c r="C20" s="410"/>
      <c r="D20" s="412"/>
      <c r="E20" s="412">
        <f t="shared" si="0"/>
        <v>147749.88</v>
      </c>
      <c r="F20" s="413"/>
      <c r="G20" s="413">
        <f t="shared" si="1"/>
        <v>3892.16</v>
      </c>
      <c r="H20" s="413">
        <f t="shared" si="2"/>
        <v>143857.72</v>
      </c>
      <c r="I20" s="414"/>
    </row>
    <row r="21" spans="1:9" s="330" customFormat="1" ht="12.75" customHeight="1" x14ac:dyDescent="0.25">
      <c r="A21" s="408"/>
      <c r="B21" s="409"/>
      <c r="C21" s="423"/>
      <c r="D21" s="412"/>
      <c r="E21" s="412">
        <f t="shared" si="0"/>
        <v>147749.88</v>
      </c>
      <c r="F21" s="413"/>
      <c r="G21" s="413">
        <f t="shared" si="1"/>
        <v>3892.16</v>
      </c>
      <c r="H21" s="413">
        <f t="shared" si="2"/>
        <v>143857.72</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147749.88</v>
      </c>
      <c r="E23" s="426"/>
      <c r="F23" s="426">
        <f>SUM(F9:F22)</f>
        <v>3892.16</v>
      </c>
      <c r="G23" s="426"/>
      <c r="H23" s="426">
        <f>D23-F23</f>
        <v>143857.72</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24"/>
      <c r="B26" s="410"/>
      <c r="C26" s="425" t="s">
        <v>192</v>
      </c>
      <c r="D26" s="413">
        <v>119339.92</v>
      </c>
      <c r="E26" s="413"/>
      <c r="F26" s="413">
        <f>3892.16</f>
        <v>3892.16</v>
      </c>
      <c r="G26" s="413"/>
      <c r="H26" s="413">
        <f>D26-F26</f>
        <v>115447.76</v>
      </c>
      <c r="I26" s="414"/>
    </row>
    <row r="27" spans="1:9" s="330" customFormat="1" ht="12.75" customHeight="1" x14ac:dyDescent="0.25">
      <c r="A27" s="424"/>
      <c r="B27" s="410"/>
      <c r="C27" s="425" t="s">
        <v>1650</v>
      </c>
      <c r="D27" s="413">
        <v>944</v>
      </c>
      <c r="E27" s="413"/>
      <c r="F27" s="413"/>
      <c r="G27" s="413"/>
      <c r="H27" s="413">
        <f t="shared" ref="H27:H28" si="3">D27-F27</f>
        <v>944</v>
      </c>
      <c r="I27" s="414"/>
    </row>
    <row r="28" spans="1:9" s="330" customFormat="1" ht="12.75" customHeight="1" x14ac:dyDescent="0.25">
      <c r="A28" s="408"/>
      <c r="B28" s="410"/>
      <c r="C28" s="425" t="s">
        <v>796</v>
      </c>
      <c r="D28" s="413">
        <v>27465.96</v>
      </c>
      <c r="E28" s="413"/>
      <c r="F28" s="413"/>
      <c r="G28" s="413"/>
      <c r="H28" s="413">
        <f t="shared" si="3"/>
        <v>27465.96</v>
      </c>
      <c r="I28" s="414"/>
    </row>
    <row r="29" spans="1:9" s="330" customFormat="1" ht="12.75" customHeight="1" thickBot="1" x14ac:dyDescent="0.3">
      <c r="A29" s="408"/>
      <c r="B29" s="410"/>
      <c r="C29" s="424" t="s">
        <v>555</v>
      </c>
      <c r="D29" s="426">
        <f>SUM(D26:D28)</f>
        <v>147749.88</v>
      </c>
      <c r="E29" s="427"/>
      <c r="F29" s="426">
        <f>SUM(F26:F28)</f>
        <v>3892.16</v>
      </c>
      <c r="G29" s="427"/>
      <c r="H29" s="426">
        <f>SUM(H26:H28)</f>
        <v>143857.72</v>
      </c>
      <c r="I29" s="491"/>
    </row>
    <row r="30" spans="1:9" s="330" customFormat="1" ht="12.75" customHeight="1" thickTop="1" x14ac:dyDescent="0.25"/>
    <row r="31" spans="1:9" s="330" customFormat="1" ht="12.7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2325-D88F-4AEE-A19A-0CD89C4144AE}">
  <sheetPr codeName="Sheet51">
    <pageSetUpPr fitToPage="1"/>
  </sheetPr>
  <dimension ref="A1:J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78" t="str">
        <f>'RECAP #9279.40'!B1</f>
        <v xml:space="preserve">HHS WRC Campus Utility Decentralization Phase 4 &amp; Fire Alarm Phase 3 </v>
      </c>
      <c r="B1" s="79"/>
      <c r="C1" s="6"/>
      <c r="D1" s="6"/>
      <c r="E1" s="6"/>
      <c r="F1" s="124"/>
      <c r="G1" s="124"/>
      <c r="H1" s="125"/>
      <c r="I1" s="125"/>
    </row>
    <row r="2" spans="1:10" ht="15.75" x14ac:dyDescent="0.25">
      <c r="A2" s="81" t="str">
        <f>'RECAP #9279.40'!B2</f>
        <v>Project # 9279.40</v>
      </c>
      <c r="B2" s="80"/>
      <c r="C2" s="6"/>
      <c r="D2" s="6"/>
      <c r="E2" s="6"/>
      <c r="F2" s="124"/>
      <c r="G2" s="124"/>
      <c r="H2" s="125"/>
      <c r="I2" s="125"/>
    </row>
    <row r="3" spans="1:10" ht="15.75" x14ac:dyDescent="0.25">
      <c r="A3" s="82" t="str">
        <f>'RECAP #9279.40'!B3</f>
        <v>Program code 927940</v>
      </c>
      <c r="B3" s="80"/>
      <c r="C3" s="6"/>
      <c r="D3" s="83" t="str">
        <f>'RECAP #9279.40'!E3</f>
        <v>Major Program 4B02</v>
      </c>
      <c r="E3" s="6"/>
      <c r="F3" s="124"/>
      <c r="G3" s="124"/>
      <c r="H3" s="125"/>
      <c r="I3" s="125"/>
    </row>
    <row r="4" spans="1:10" ht="15.75" x14ac:dyDescent="0.25">
      <c r="A4" s="109" t="s">
        <v>1691</v>
      </c>
      <c r="B4" s="126"/>
      <c r="C4" s="127"/>
      <c r="D4" s="128" t="s">
        <v>276</v>
      </c>
      <c r="E4" s="124"/>
      <c r="F4" s="124"/>
      <c r="G4" s="124"/>
      <c r="H4" s="125"/>
      <c r="I4" s="125"/>
    </row>
    <row r="5" spans="1:10" ht="15.75" x14ac:dyDescent="0.25">
      <c r="A5" s="129" t="s">
        <v>109</v>
      </c>
      <c r="B5" s="130"/>
      <c r="C5" s="131"/>
      <c r="D5" s="132" t="s">
        <v>1692</v>
      </c>
      <c r="E5" s="133"/>
      <c r="F5" s="134"/>
      <c r="G5" s="134"/>
      <c r="H5" s="130"/>
      <c r="I5" s="125"/>
    </row>
    <row r="6" spans="1:10" ht="15.75" x14ac:dyDescent="0.25">
      <c r="A6" s="86" t="str">
        <f>'RECAP #9279.40'!B6</f>
        <v>Project Manager - Jennifer K.</v>
      </c>
      <c r="B6" s="86"/>
      <c r="C6" s="135"/>
      <c r="D6" s="136" t="s">
        <v>810</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49</v>
      </c>
      <c r="B8" s="141" t="s">
        <v>4</v>
      </c>
      <c r="C8" s="142" t="s">
        <v>11</v>
      </c>
      <c r="D8" s="143" t="s">
        <v>50</v>
      </c>
      <c r="E8" s="143" t="s">
        <v>51</v>
      </c>
      <c r="F8" s="143" t="s">
        <v>52</v>
      </c>
      <c r="G8" s="143" t="s">
        <v>53</v>
      </c>
      <c r="H8" s="143" t="s">
        <v>12</v>
      </c>
      <c r="I8" s="194" t="s">
        <v>261</v>
      </c>
    </row>
    <row r="9" spans="1:10" s="330" customFormat="1" ht="12.75" customHeight="1" x14ac:dyDescent="0.25">
      <c r="A9" s="408" t="s">
        <v>1693</v>
      </c>
      <c r="B9" s="409">
        <v>46099</v>
      </c>
      <c r="C9" s="410" t="s">
        <v>107</v>
      </c>
      <c r="D9" s="411">
        <v>998762</v>
      </c>
      <c r="E9" s="412">
        <f>D9</f>
        <v>998762</v>
      </c>
      <c r="F9" s="413"/>
      <c r="G9" s="413"/>
      <c r="H9" s="413">
        <f>E9</f>
        <v>998762</v>
      </c>
      <c r="I9" s="448"/>
      <c r="J9" s="448"/>
    </row>
    <row r="10" spans="1:10" s="330" customFormat="1" ht="12.75" customHeight="1" x14ac:dyDescent="0.25">
      <c r="A10" s="408"/>
      <c r="B10" s="409"/>
      <c r="C10" s="410"/>
      <c r="D10" s="411"/>
      <c r="E10" s="412">
        <f t="shared" ref="E10:E21" si="0">E9+D10</f>
        <v>998762</v>
      </c>
      <c r="F10" s="445"/>
      <c r="G10" s="413">
        <f t="shared" ref="G10:G21" si="1">G9+F10</f>
        <v>0</v>
      </c>
      <c r="H10" s="413">
        <f t="shared" ref="H10:H21" si="2">H9-F10+D10</f>
        <v>998762</v>
      </c>
      <c r="I10" s="414"/>
    </row>
    <row r="11" spans="1:10" s="330" customFormat="1" ht="12.75" customHeight="1" x14ac:dyDescent="0.25">
      <c r="A11" s="408"/>
      <c r="B11" s="409"/>
      <c r="C11" s="410"/>
      <c r="D11" s="411"/>
      <c r="E11" s="412">
        <f t="shared" si="0"/>
        <v>998762</v>
      </c>
      <c r="F11" s="445"/>
      <c r="G11" s="413">
        <f t="shared" si="1"/>
        <v>0</v>
      </c>
      <c r="H11" s="413">
        <f t="shared" si="2"/>
        <v>998762</v>
      </c>
      <c r="I11" s="414"/>
    </row>
    <row r="12" spans="1:10" s="330" customFormat="1" ht="12.75" customHeight="1" x14ac:dyDescent="0.25">
      <c r="A12" s="408"/>
      <c r="B12" s="409"/>
      <c r="C12" s="410"/>
      <c r="D12" s="411"/>
      <c r="E12" s="412">
        <f t="shared" si="0"/>
        <v>998762</v>
      </c>
      <c r="F12" s="445"/>
      <c r="G12" s="413">
        <f t="shared" si="1"/>
        <v>0</v>
      </c>
      <c r="H12" s="413">
        <f t="shared" si="2"/>
        <v>998762</v>
      </c>
      <c r="I12" s="482"/>
    </row>
    <row r="13" spans="1:10" s="330" customFormat="1" ht="12.75" customHeight="1" x14ac:dyDescent="0.25">
      <c r="A13" s="408"/>
      <c r="B13" s="409"/>
      <c r="C13" s="410"/>
      <c r="D13" s="411"/>
      <c r="E13" s="412">
        <f t="shared" si="0"/>
        <v>998762</v>
      </c>
      <c r="F13" s="445"/>
      <c r="G13" s="413">
        <f t="shared" si="1"/>
        <v>0</v>
      </c>
      <c r="H13" s="413">
        <f t="shared" si="2"/>
        <v>998762</v>
      </c>
      <c r="I13" s="482"/>
    </row>
    <row r="14" spans="1:10" s="330" customFormat="1" ht="12.75" customHeight="1" x14ac:dyDescent="0.25">
      <c r="A14" s="408"/>
      <c r="B14" s="409"/>
      <c r="C14" s="410"/>
      <c r="D14" s="412"/>
      <c r="E14" s="412">
        <f t="shared" si="0"/>
        <v>998762</v>
      </c>
      <c r="F14" s="422"/>
      <c r="G14" s="413">
        <f t="shared" si="1"/>
        <v>0</v>
      </c>
      <c r="H14" s="413">
        <f t="shared" si="2"/>
        <v>998762</v>
      </c>
      <c r="I14" s="482"/>
    </row>
    <row r="15" spans="1:10" s="330" customFormat="1" ht="12.75" customHeight="1" x14ac:dyDescent="0.25">
      <c r="A15" s="408"/>
      <c r="B15" s="409"/>
      <c r="C15" s="410"/>
      <c r="D15" s="411"/>
      <c r="E15" s="412">
        <f t="shared" si="0"/>
        <v>998762</v>
      </c>
      <c r="F15" s="422"/>
      <c r="G15" s="413">
        <f t="shared" si="1"/>
        <v>0</v>
      </c>
      <c r="H15" s="413">
        <f t="shared" si="2"/>
        <v>998762</v>
      </c>
      <c r="I15" s="482"/>
    </row>
    <row r="16" spans="1:10" s="330" customFormat="1" ht="12.75" customHeight="1" x14ac:dyDescent="0.25">
      <c r="A16" s="408"/>
      <c r="B16" s="409"/>
      <c r="C16" s="410"/>
      <c r="D16" s="412"/>
      <c r="E16" s="412">
        <f t="shared" si="0"/>
        <v>998762</v>
      </c>
      <c r="F16" s="445"/>
      <c r="G16" s="413">
        <f t="shared" si="1"/>
        <v>0</v>
      </c>
      <c r="H16" s="413">
        <f t="shared" si="2"/>
        <v>998762</v>
      </c>
      <c r="I16" s="482"/>
    </row>
    <row r="17" spans="1:9" s="330" customFormat="1" ht="12.75" customHeight="1" x14ac:dyDescent="0.25">
      <c r="A17" s="408"/>
      <c r="B17" s="409"/>
      <c r="C17" s="410"/>
      <c r="D17" s="412"/>
      <c r="E17" s="412">
        <f t="shared" si="0"/>
        <v>998762</v>
      </c>
      <c r="F17" s="445"/>
      <c r="G17" s="413">
        <f t="shared" si="1"/>
        <v>0</v>
      </c>
      <c r="H17" s="413">
        <f t="shared" si="2"/>
        <v>998762</v>
      </c>
      <c r="I17" s="482"/>
    </row>
    <row r="18" spans="1:9" s="330" customFormat="1" ht="12.75" customHeight="1" x14ac:dyDescent="0.25">
      <c r="A18" s="408"/>
      <c r="B18" s="409"/>
      <c r="C18" s="410"/>
      <c r="D18" s="411"/>
      <c r="E18" s="412">
        <f t="shared" si="0"/>
        <v>998762</v>
      </c>
      <c r="F18" s="422"/>
      <c r="G18" s="413">
        <f t="shared" si="1"/>
        <v>0</v>
      </c>
      <c r="H18" s="413">
        <f t="shared" si="2"/>
        <v>998762</v>
      </c>
      <c r="I18" s="482"/>
    </row>
    <row r="19" spans="1:9" s="330" customFormat="1" ht="12.75" customHeight="1" x14ac:dyDescent="0.25">
      <c r="A19" s="408"/>
      <c r="B19" s="409"/>
      <c r="C19" s="410"/>
      <c r="D19" s="412"/>
      <c r="E19" s="412">
        <f t="shared" si="0"/>
        <v>998762</v>
      </c>
      <c r="F19" s="422"/>
      <c r="G19" s="413">
        <f t="shared" si="1"/>
        <v>0</v>
      </c>
      <c r="H19" s="413">
        <f t="shared" si="2"/>
        <v>998762</v>
      </c>
      <c r="I19" s="482"/>
    </row>
    <row r="20" spans="1:9" s="330" customFormat="1" ht="12.75" customHeight="1" x14ac:dyDescent="0.25">
      <c r="A20" s="408"/>
      <c r="B20" s="409"/>
      <c r="C20" s="410"/>
      <c r="D20" s="412"/>
      <c r="E20" s="412">
        <f t="shared" si="0"/>
        <v>998762</v>
      </c>
      <c r="F20" s="413"/>
      <c r="G20" s="413">
        <f t="shared" si="1"/>
        <v>0</v>
      </c>
      <c r="H20" s="413">
        <f t="shared" si="2"/>
        <v>998762</v>
      </c>
      <c r="I20" s="482"/>
    </row>
    <row r="21" spans="1:9" s="330" customFormat="1" ht="12.75" customHeight="1" x14ac:dyDescent="0.25">
      <c r="A21" s="408"/>
      <c r="B21" s="409"/>
      <c r="C21" s="423"/>
      <c r="D21" s="412"/>
      <c r="E21" s="412">
        <f t="shared" si="0"/>
        <v>998762</v>
      </c>
      <c r="F21" s="413"/>
      <c r="G21" s="413">
        <f t="shared" si="1"/>
        <v>0</v>
      </c>
      <c r="H21" s="413">
        <f t="shared" si="2"/>
        <v>998762</v>
      </c>
      <c r="I21" s="482"/>
    </row>
    <row r="22" spans="1:9" s="330" customFormat="1" ht="12.75" customHeight="1" x14ac:dyDescent="0.25">
      <c r="A22" s="408"/>
      <c r="B22" s="410"/>
      <c r="C22" s="425"/>
      <c r="D22" s="413"/>
      <c r="E22" s="413"/>
      <c r="F22" s="413"/>
      <c r="G22" s="413"/>
      <c r="H22" s="413"/>
      <c r="I22" s="414"/>
    </row>
    <row r="23" spans="1:9" ht="15.75" thickBot="1" x14ac:dyDescent="0.3">
      <c r="A23" s="144"/>
      <c r="B23" s="153"/>
      <c r="C23" s="154" t="s">
        <v>54</v>
      </c>
      <c r="D23" s="123">
        <f>SUM(D9:D22)</f>
        <v>998762</v>
      </c>
      <c r="E23" s="123"/>
      <c r="F23" s="123">
        <f>SUM(F9:F22)</f>
        <v>0</v>
      </c>
      <c r="G23" s="123"/>
      <c r="H23" s="123">
        <f>D23-F23</f>
        <v>998762</v>
      </c>
      <c r="I23" s="149"/>
    </row>
    <row r="24" spans="1:9"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8681-761E-4C51-9EB2-6709CAD92165}">
  <sheetPr>
    <pageSetUpPr fitToPage="1"/>
  </sheetPr>
  <dimension ref="A1:J3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78" t="str">
        <f>'RECAP #9279.40'!B1</f>
        <v xml:space="preserve">HHS WRC Campus Utility Decentralization Phase 4 &amp; Fire Alarm Phase 3 </v>
      </c>
      <c r="B1" s="79"/>
      <c r="C1" s="6"/>
      <c r="D1" s="6"/>
      <c r="E1" s="6"/>
      <c r="F1" s="124"/>
      <c r="G1" s="124"/>
      <c r="H1" s="125"/>
      <c r="I1" s="125"/>
    </row>
    <row r="2" spans="1:10" ht="15.75" x14ac:dyDescent="0.25">
      <c r="A2" s="81" t="str">
        <f>'RECAP #9279.40'!B2</f>
        <v>Project # 9279.40</v>
      </c>
      <c r="B2" s="80"/>
      <c r="C2" s="6"/>
      <c r="D2" s="6"/>
      <c r="E2" s="6"/>
      <c r="F2" s="124"/>
      <c r="G2" s="124"/>
      <c r="H2" s="125"/>
      <c r="I2" s="125"/>
    </row>
    <row r="3" spans="1:10" ht="15.75" x14ac:dyDescent="0.25">
      <c r="A3" s="82" t="str">
        <f>'RECAP #9279.40'!B3</f>
        <v>Program code 927940</v>
      </c>
      <c r="B3" s="80"/>
      <c r="C3" s="6"/>
      <c r="D3" s="83" t="str">
        <f>'RECAP #9279.40'!E3</f>
        <v>Major Program 4B02</v>
      </c>
      <c r="E3" s="6"/>
      <c r="F3" s="124"/>
      <c r="G3" s="124"/>
      <c r="H3" s="125"/>
      <c r="I3" s="125"/>
    </row>
    <row r="4" spans="1:10" ht="15.75" x14ac:dyDescent="0.25">
      <c r="A4" s="109" t="s">
        <v>1613</v>
      </c>
      <c r="B4" s="126"/>
      <c r="C4" s="127"/>
      <c r="D4" s="128" t="s">
        <v>1614</v>
      </c>
      <c r="E4" s="124"/>
      <c r="F4" s="124"/>
      <c r="G4" s="124"/>
      <c r="H4" s="125"/>
      <c r="I4" s="125"/>
    </row>
    <row r="5" spans="1:10" ht="15.75" x14ac:dyDescent="0.25">
      <c r="A5" s="129" t="s">
        <v>109</v>
      </c>
      <c r="B5" s="130"/>
      <c r="C5" s="131"/>
      <c r="D5" s="132" t="s">
        <v>1615</v>
      </c>
      <c r="E5" s="133"/>
      <c r="F5" s="134"/>
      <c r="G5" s="134"/>
      <c r="H5" s="130"/>
      <c r="I5" s="125"/>
    </row>
    <row r="6" spans="1:10" ht="15.75" x14ac:dyDescent="0.25">
      <c r="A6" s="86" t="str">
        <f>'RECAP #9279.40'!B6</f>
        <v>Project Manager - Jennifer K.</v>
      </c>
      <c r="B6" s="86"/>
      <c r="C6" s="135"/>
      <c r="D6" s="136" t="s">
        <v>202</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49</v>
      </c>
      <c r="B8" s="141" t="s">
        <v>4</v>
      </c>
      <c r="C8" s="142" t="s">
        <v>11</v>
      </c>
      <c r="D8" s="143" t="s">
        <v>50</v>
      </c>
      <c r="E8" s="143" t="s">
        <v>51</v>
      </c>
      <c r="F8" s="143" t="s">
        <v>52</v>
      </c>
      <c r="G8" s="143" t="s">
        <v>53</v>
      </c>
      <c r="H8" s="143" t="s">
        <v>12</v>
      </c>
      <c r="I8" s="590" t="s">
        <v>3</v>
      </c>
    </row>
    <row r="9" spans="1:10" s="330" customFormat="1" ht="12.75" customHeight="1" x14ac:dyDescent="0.25">
      <c r="A9" s="408" t="s">
        <v>1808</v>
      </c>
      <c r="B9" s="409">
        <v>46140</v>
      </c>
      <c r="C9" s="410" t="s">
        <v>703</v>
      </c>
      <c r="D9" s="411">
        <v>13660</v>
      </c>
      <c r="E9" s="412">
        <f>D9</f>
        <v>13660</v>
      </c>
      <c r="F9" s="413"/>
      <c r="G9" s="413"/>
      <c r="H9" s="413">
        <f>E9</f>
        <v>13660</v>
      </c>
      <c r="I9" s="448"/>
      <c r="J9" s="448"/>
    </row>
    <row r="10" spans="1:10" s="330" customFormat="1" ht="12.75" customHeight="1" x14ac:dyDescent="0.25">
      <c r="A10" s="408"/>
      <c r="B10" s="409"/>
      <c r="C10" s="410"/>
      <c r="D10" s="411"/>
      <c r="E10" s="412">
        <f t="shared" ref="E10:E21" si="0">E9+D10</f>
        <v>13660</v>
      </c>
      <c r="F10" s="445"/>
      <c r="G10" s="413">
        <f t="shared" ref="G10:G21" si="1">G9+F10</f>
        <v>0</v>
      </c>
      <c r="H10" s="413">
        <f t="shared" ref="H10:H21" si="2">H9-F10+D10</f>
        <v>13660</v>
      </c>
      <c r="I10" s="414"/>
    </row>
    <row r="11" spans="1:10" s="330" customFormat="1" ht="12.75" customHeight="1" x14ac:dyDescent="0.25">
      <c r="A11" s="408"/>
      <c r="B11" s="409"/>
      <c r="C11" s="410"/>
      <c r="D11" s="411"/>
      <c r="E11" s="412">
        <f t="shared" si="0"/>
        <v>13660</v>
      </c>
      <c r="F11" s="445"/>
      <c r="G11" s="413">
        <f t="shared" si="1"/>
        <v>0</v>
      </c>
      <c r="H11" s="413">
        <f t="shared" si="2"/>
        <v>13660</v>
      </c>
      <c r="I11" s="414"/>
    </row>
    <row r="12" spans="1:10" s="330" customFormat="1" ht="12.75" customHeight="1" x14ac:dyDescent="0.25">
      <c r="A12" s="408"/>
      <c r="B12" s="409"/>
      <c r="C12" s="410"/>
      <c r="D12" s="411"/>
      <c r="E12" s="412">
        <f t="shared" si="0"/>
        <v>13660</v>
      </c>
      <c r="F12" s="445"/>
      <c r="G12" s="413">
        <f t="shared" si="1"/>
        <v>0</v>
      </c>
      <c r="H12" s="413">
        <f t="shared" si="2"/>
        <v>13660</v>
      </c>
      <c r="I12" s="482"/>
    </row>
    <row r="13" spans="1:10" s="330" customFormat="1" ht="12.75" customHeight="1" x14ac:dyDescent="0.25">
      <c r="A13" s="408"/>
      <c r="B13" s="409"/>
      <c r="C13" s="410"/>
      <c r="D13" s="411"/>
      <c r="E13" s="412">
        <f t="shared" si="0"/>
        <v>13660</v>
      </c>
      <c r="F13" s="445"/>
      <c r="G13" s="413">
        <f t="shared" si="1"/>
        <v>0</v>
      </c>
      <c r="H13" s="413">
        <f t="shared" si="2"/>
        <v>13660</v>
      </c>
      <c r="I13" s="482"/>
    </row>
    <row r="14" spans="1:10" s="330" customFormat="1" ht="12.75" customHeight="1" x14ac:dyDescent="0.25">
      <c r="A14" s="408"/>
      <c r="B14" s="409"/>
      <c r="C14" s="410"/>
      <c r="D14" s="412"/>
      <c r="E14" s="412">
        <f t="shared" si="0"/>
        <v>13660</v>
      </c>
      <c r="F14" s="422"/>
      <c r="G14" s="413">
        <f t="shared" si="1"/>
        <v>0</v>
      </c>
      <c r="H14" s="413">
        <f t="shared" si="2"/>
        <v>13660</v>
      </c>
      <c r="I14" s="482"/>
    </row>
    <row r="15" spans="1:10" s="330" customFormat="1" ht="12.75" customHeight="1" x14ac:dyDescent="0.25">
      <c r="A15" s="408"/>
      <c r="B15" s="409"/>
      <c r="C15" s="410"/>
      <c r="D15" s="411"/>
      <c r="E15" s="412">
        <f t="shared" si="0"/>
        <v>13660</v>
      </c>
      <c r="F15" s="422"/>
      <c r="G15" s="413">
        <f t="shared" si="1"/>
        <v>0</v>
      </c>
      <c r="H15" s="413">
        <f t="shared" si="2"/>
        <v>13660</v>
      </c>
      <c r="I15" s="482"/>
    </row>
    <row r="16" spans="1:10" s="330" customFormat="1" ht="12.75" customHeight="1" x14ac:dyDescent="0.25">
      <c r="A16" s="408"/>
      <c r="B16" s="409"/>
      <c r="C16" s="410"/>
      <c r="D16" s="412"/>
      <c r="E16" s="412">
        <f t="shared" si="0"/>
        <v>13660</v>
      </c>
      <c r="F16" s="445"/>
      <c r="G16" s="413">
        <f t="shared" si="1"/>
        <v>0</v>
      </c>
      <c r="H16" s="413">
        <f t="shared" si="2"/>
        <v>13660</v>
      </c>
      <c r="I16" s="482"/>
    </row>
    <row r="17" spans="1:9" s="330" customFormat="1" ht="12.75" customHeight="1" x14ac:dyDescent="0.25">
      <c r="A17" s="408"/>
      <c r="B17" s="409"/>
      <c r="C17" s="410"/>
      <c r="D17" s="412"/>
      <c r="E17" s="412">
        <f t="shared" si="0"/>
        <v>13660</v>
      </c>
      <c r="F17" s="445"/>
      <c r="G17" s="413">
        <f t="shared" si="1"/>
        <v>0</v>
      </c>
      <c r="H17" s="413">
        <f t="shared" si="2"/>
        <v>13660</v>
      </c>
      <c r="I17" s="482"/>
    </row>
    <row r="18" spans="1:9" s="330" customFormat="1" ht="12.75" customHeight="1" x14ac:dyDescent="0.25">
      <c r="A18" s="408"/>
      <c r="B18" s="409"/>
      <c r="C18" s="410"/>
      <c r="D18" s="411"/>
      <c r="E18" s="412">
        <f t="shared" si="0"/>
        <v>13660</v>
      </c>
      <c r="F18" s="422"/>
      <c r="G18" s="413">
        <f t="shared" si="1"/>
        <v>0</v>
      </c>
      <c r="H18" s="413">
        <f t="shared" si="2"/>
        <v>13660</v>
      </c>
      <c r="I18" s="482"/>
    </row>
    <row r="19" spans="1:9" s="330" customFormat="1" ht="12.75" customHeight="1" x14ac:dyDescent="0.25">
      <c r="A19" s="408"/>
      <c r="B19" s="409"/>
      <c r="C19" s="410"/>
      <c r="D19" s="412"/>
      <c r="E19" s="412">
        <f t="shared" si="0"/>
        <v>13660</v>
      </c>
      <c r="F19" s="422"/>
      <c r="G19" s="413">
        <f t="shared" si="1"/>
        <v>0</v>
      </c>
      <c r="H19" s="413">
        <f t="shared" si="2"/>
        <v>13660</v>
      </c>
      <c r="I19" s="482"/>
    </row>
    <row r="20" spans="1:9" s="330" customFormat="1" ht="12.75" customHeight="1" x14ac:dyDescent="0.25">
      <c r="A20" s="408"/>
      <c r="B20" s="409"/>
      <c r="C20" s="410"/>
      <c r="D20" s="412"/>
      <c r="E20" s="412">
        <f t="shared" si="0"/>
        <v>13660</v>
      </c>
      <c r="F20" s="413"/>
      <c r="G20" s="413">
        <f t="shared" si="1"/>
        <v>0</v>
      </c>
      <c r="H20" s="413">
        <f t="shared" si="2"/>
        <v>13660</v>
      </c>
      <c r="I20" s="482"/>
    </row>
    <row r="21" spans="1:9" s="330" customFormat="1" ht="12.75" customHeight="1" x14ac:dyDescent="0.25">
      <c r="A21" s="408"/>
      <c r="B21" s="409"/>
      <c r="C21" s="423"/>
      <c r="D21" s="412"/>
      <c r="E21" s="412">
        <f t="shared" si="0"/>
        <v>13660</v>
      </c>
      <c r="F21" s="413"/>
      <c r="G21" s="413">
        <f t="shared" si="1"/>
        <v>0</v>
      </c>
      <c r="H21" s="413">
        <f t="shared" si="2"/>
        <v>13660</v>
      </c>
      <c r="I21" s="482"/>
    </row>
    <row r="22" spans="1:9" s="330" customFormat="1" ht="12.75" customHeight="1" x14ac:dyDescent="0.25">
      <c r="A22" s="408"/>
      <c r="B22" s="410"/>
      <c r="C22" s="425"/>
      <c r="D22" s="413"/>
      <c r="E22" s="413"/>
      <c r="F22" s="413"/>
      <c r="G22" s="413"/>
      <c r="H22" s="413"/>
      <c r="I22" s="414"/>
    </row>
    <row r="23" spans="1:9" ht="15.75" thickBot="1" x14ac:dyDescent="0.3">
      <c r="A23" s="144"/>
      <c r="B23" s="153"/>
      <c r="C23" s="154" t="s">
        <v>54</v>
      </c>
      <c r="D23" s="123">
        <f>SUM(D9:D22)</f>
        <v>13660</v>
      </c>
      <c r="E23" s="123"/>
      <c r="F23" s="123">
        <f>SUM(F9:F22)</f>
        <v>0</v>
      </c>
      <c r="G23" s="123"/>
      <c r="H23" s="123">
        <f>D23-F23</f>
        <v>13660</v>
      </c>
      <c r="I23" s="149"/>
    </row>
    <row r="24" spans="1:9" ht="15" customHeight="1" thickTop="1" x14ac:dyDescent="0.25"/>
    <row r="26" spans="1:9" ht="15" customHeight="1" x14ac:dyDescent="0.25">
      <c r="B26" t="s">
        <v>1805</v>
      </c>
      <c r="C26" s="425" t="s">
        <v>1806</v>
      </c>
      <c r="D26" s="413">
        <v>12920</v>
      </c>
      <c r="E26" s="413"/>
      <c r="F26" s="413"/>
      <c r="G26" s="413"/>
      <c r="H26" s="413">
        <f t="shared" ref="H26:H28" si="3">D26-F26</f>
        <v>12920</v>
      </c>
    </row>
    <row r="27" spans="1:9" ht="15" customHeight="1" x14ac:dyDescent="0.25">
      <c r="B27" t="s">
        <v>1622</v>
      </c>
      <c r="C27" s="425" t="s">
        <v>1807</v>
      </c>
      <c r="D27" s="413">
        <v>100</v>
      </c>
      <c r="E27" s="413"/>
      <c r="F27" s="413"/>
      <c r="G27" s="413"/>
      <c r="H27" s="413">
        <f t="shared" si="3"/>
        <v>100</v>
      </c>
    </row>
    <row r="28" spans="1:9" ht="15" customHeight="1" x14ac:dyDescent="0.25">
      <c r="B28" t="s">
        <v>1623</v>
      </c>
      <c r="C28" s="425" t="s">
        <v>1809</v>
      </c>
      <c r="D28" s="413">
        <v>640</v>
      </c>
      <c r="E28" s="413"/>
      <c r="F28" s="413"/>
      <c r="G28" s="413"/>
      <c r="H28" s="413">
        <f t="shared" si="3"/>
        <v>640</v>
      </c>
    </row>
    <row r="29" spans="1:9" ht="15" customHeight="1" thickBot="1" x14ac:dyDescent="0.3">
      <c r="C29" s="424" t="s">
        <v>555</v>
      </c>
      <c r="D29" s="426">
        <f>SUM(D26:D28)</f>
        <v>13660</v>
      </c>
      <c r="E29" s="427"/>
      <c r="F29" s="426">
        <f>SUM(F26:F28)</f>
        <v>0</v>
      </c>
      <c r="G29" s="427"/>
      <c r="H29" s="426">
        <f>SUM(H26:H28)</f>
        <v>13660</v>
      </c>
    </row>
    <row r="30" spans="1:9"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pageSetUpPr fitToPage="1"/>
  </sheetPr>
  <dimension ref="A1:G16"/>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77"/>
      <c r="B1" s="78" t="s">
        <v>427</v>
      </c>
      <c r="C1" s="79"/>
      <c r="D1" s="6"/>
      <c r="E1" s="6"/>
      <c r="F1" s="6"/>
      <c r="G1" s="6"/>
    </row>
    <row r="2" spans="1:7" ht="15.75" x14ac:dyDescent="0.25">
      <c r="A2" s="77"/>
      <c r="B2" s="81" t="s">
        <v>428</v>
      </c>
      <c r="C2" s="80"/>
      <c r="D2" s="6"/>
      <c r="E2" s="6"/>
      <c r="F2" s="6"/>
      <c r="G2" s="6"/>
    </row>
    <row r="3" spans="1:7" ht="15.75" x14ac:dyDescent="0.25">
      <c r="A3" s="77"/>
      <c r="B3" s="82" t="s">
        <v>429</v>
      </c>
      <c r="C3" s="80"/>
      <c r="D3" s="6"/>
      <c r="E3" s="83" t="s">
        <v>71</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70</v>
      </c>
      <c r="C6" s="87"/>
      <c r="D6" s="88" t="s">
        <v>3</v>
      </c>
      <c r="E6" s="6"/>
      <c r="F6" s="6"/>
      <c r="G6" s="6"/>
    </row>
    <row r="7" spans="1:7" ht="32.25" customHeight="1" thickBot="1" x14ac:dyDescent="0.3">
      <c r="A7" s="77"/>
      <c r="B7" s="89" t="s">
        <v>3</v>
      </c>
      <c r="C7" s="90" t="s">
        <v>0</v>
      </c>
      <c r="D7" s="91" t="s">
        <v>1</v>
      </c>
      <c r="E7" s="92" t="s">
        <v>2</v>
      </c>
      <c r="F7" s="93" t="s">
        <v>37</v>
      </c>
      <c r="G7" s="93" t="s">
        <v>38</v>
      </c>
    </row>
    <row r="8" spans="1:7" ht="28.35" customHeight="1" x14ac:dyDescent="0.25">
      <c r="A8" s="77"/>
      <c r="B8" s="80" t="s">
        <v>39</v>
      </c>
      <c r="C8" s="94">
        <f>'#9279.41 Funds Rec''d '!H24</f>
        <v>130000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3"/>
      <c r="B10" s="474" t="s">
        <v>171</v>
      </c>
      <c r="C10" s="475"/>
      <c r="D10" s="479">
        <f>'#9279.41 Shive Hattery'!D23</f>
        <v>98744</v>
      </c>
      <c r="E10" s="479">
        <f>'#9279.41 Shive Hattery'!F23</f>
        <v>95714</v>
      </c>
      <c r="F10" s="479">
        <f>'#9279.41 Shive Hattery'!H23</f>
        <v>3030</v>
      </c>
      <c r="G10" s="477"/>
    </row>
    <row r="11" spans="1:7" s="330" customFormat="1" ht="12.75" customHeight="1" x14ac:dyDescent="0.25">
      <c r="A11" s="473"/>
      <c r="B11" s="474" t="s">
        <v>41</v>
      </c>
      <c r="C11" s="475"/>
      <c r="D11" s="479">
        <f>'#9279.41 PM TIME'!E44</f>
        <v>10500</v>
      </c>
      <c r="E11" s="479">
        <f>'#9279.41 PM TIME'!G44</f>
        <v>9474.02</v>
      </c>
      <c r="F11" s="479">
        <f>'#9279.41 PM TIME'!I44</f>
        <v>1025.9799999999996</v>
      </c>
      <c r="G11" s="477"/>
    </row>
    <row r="12" spans="1:7" s="330" customFormat="1" ht="12.75" customHeight="1" x14ac:dyDescent="0.25">
      <c r="A12" s="473"/>
      <c r="B12" s="474" t="s">
        <v>42</v>
      </c>
      <c r="C12" s="476"/>
      <c r="D12" s="463">
        <f>'#9279.41 Misc'!G22</f>
        <v>0</v>
      </c>
      <c r="E12" s="463">
        <f>'#9279.41 Misc'!G22</f>
        <v>0</v>
      </c>
      <c r="F12" s="479">
        <f>D12-E12</f>
        <v>0</v>
      </c>
      <c r="G12" s="477"/>
    </row>
    <row r="13" spans="1:7" s="330" customFormat="1" ht="12.75" customHeight="1" x14ac:dyDescent="0.25">
      <c r="A13" s="473"/>
      <c r="B13" s="474" t="s">
        <v>188</v>
      </c>
      <c r="C13" s="476"/>
      <c r="D13" s="463">
        <f>'#9279.41 Story Construction'!D23</f>
        <v>20694.239999999998</v>
      </c>
      <c r="E13" s="463">
        <f>'#9279.41 Story Construction'!F23</f>
        <v>18881.53</v>
      </c>
      <c r="F13" s="479">
        <f>'#9279.41 Story Construction'!H23</f>
        <v>1812.7099999999991</v>
      </c>
      <c r="G13" s="477"/>
    </row>
    <row r="14" spans="1:7" s="330" customFormat="1" ht="12.75" customHeight="1" x14ac:dyDescent="0.25">
      <c r="A14" s="473"/>
      <c r="B14" s="474"/>
      <c r="C14" s="476"/>
      <c r="D14" s="463"/>
      <c r="E14" s="463"/>
      <c r="F14" s="479"/>
      <c r="G14" s="477"/>
    </row>
    <row r="15" spans="1:7" ht="24" customHeight="1" thickBot="1" x14ac:dyDescent="0.3">
      <c r="A15" s="100"/>
      <c r="B15" s="101" t="s">
        <v>43</v>
      </c>
      <c r="C15" s="102">
        <f>SUM(C8:C14)</f>
        <v>130000</v>
      </c>
      <c r="D15" s="102">
        <f>SUM(D8:D14)</f>
        <v>129938.23999999999</v>
      </c>
      <c r="E15" s="102">
        <f>SUM(E8:E14)</f>
        <v>124069.55</v>
      </c>
      <c r="F15" s="102">
        <f>SUM(D15-E15)</f>
        <v>5868.6899999999878</v>
      </c>
      <c r="G15" s="102">
        <f>C15-D15</f>
        <v>61.760000000009313</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pageSetUpPr fitToPage="1"/>
  </sheetPr>
  <dimension ref="A1:H38"/>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9.5703125" customWidth="1"/>
    <col min="6" max="6" width="14" customWidth="1"/>
    <col min="7" max="8" width="12.42578125" bestFit="1" customWidth="1"/>
    <col min="9" max="11" width="9.140625" customWidth="1"/>
  </cols>
  <sheetData>
    <row r="1" spans="1:8" x14ac:dyDescent="0.25">
      <c r="A1" s="104" t="str">
        <f>'RECAP #9279.41'!B1</f>
        <v>HHS WRC Linden Court Fire Suppression</v>
      </c>
      <c r="B1" s="7"/>
      <c r="C1" s="2"/>
      <c r="D1" s="3"/>
      <c r="E1" s="3"/>
      <c r="F1" s="7"/>
      <c r="G1" s="7"/>
      <c r="H1" s="7"/>
    </row>
    <row r="2" spans="1:8" x14ac:dyDescent="0.25">
      <c r="A2" s="105" t="str">
        <f>'RECAP #9279.41'!B2</f>
        <v>Project # 9279.41</v>
      </c>
      <c r="B2" s="7"/>
      <c r="C2" s="106" t="s">
        <v>3</v>
      </c>
      <c r="D2" s="1"/>
      <c r="E2" s="1"/>
      <c r="F2" s="7"/>
      <c r="G2" s="7"/>
      <c r="H2" s="7"/>
    </row>
    <row r="3" spans="1:8" x14ac:dyDescent="0.25">
      <c r="A3" s="107" t="str">
        <f>'RECAP #9279.41'!B3</f>
        <v>Program code 927941</v>
      </c>
      <c r="B3" s="7"/>
      <c r="C3" s="106" t="s">
        <v>3</v>
      </c>
      <c r="D3" s="108" t="str">
        <f>'RECAP #9279.41'!E3</f>
        <v>Major Program 4B02</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#9279.41'!B6</f>
        <v>Project Manager - Jennifer K.</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s="330" customFormat="1" ht="12.75" customHeight="1" x14ac:dyDescent="0.25">
      <c r="A9" s="230"/>
      <c r="B9" s="231"/>
      <c r="C9" s="232"/>
      <c r="D9" s="233" t="s">
        <v>73</v>
      </c>
      <c r="E9" s="233" t="s">
        <v>453</v>
      </c>
      <c r="F9" s="234">
        <v>45680</v>
      </c>
      <c r="G9" s="235">
        <v>130000</v>
      </c>
      <c r="H9" s="235">
        <v>130000</v>
      </c>
    </row>
    <row r="10" spans="1:8" s="330" customFormat="1" ht="12.75" customHeight="1" x14ac:dyDescent="0.25">
      <c r="A10" s="230"/>
      <c r="B10" s="230"/>
      <c r="C10" s="236"/>
      <c r="D10" s="233" t="s">
        <v>995</v>
      </c>
      <c r="E10" s="230" t="s">
        <v>999</v>
      </c>
      <c r="F10" s="230">
        <v>45881</v>
      </c>
      <c r="G10" s="343">
        <v>-83235.16</v>
      </c>
      <c r="H10" s="343">
        <v>-83235.16</v>
      </c>
    </row>
    <row r="11" spans="1:8" s="330" customFormat="1" ht="12.75" customHeight="1" x14ac:dyDescent="0.25">
      <c r="A11" s="237"/>
      <c r="B11" s="236"/>
      <c r="C11" s="238"/>
      <c r="D11" s="233" t="s">
        <v>1209</v>
      </c>
      <c r="E11" s="230" t="s">
        <v>1077</v>
      </c>
      <c r="F11" s="230">
        <v>45902</v>
      </c>
      <c r="G11" s="445">
        <v>83235.16</v>
      </c>
      <c r="H11" s="445">
        <v>83235.16</v>
      </c>
    </row>
    <row r="12" spans="1:8" s="330" customFormat="1" ht="12.75" customHeight="1" x14ac:dyDescent="0.25">
      <c r="A12" s="237"/>
      <c r="B12" s="236"/>
      <c r="C12" s="239"/>
      <c r="D12" s="233"/>
      <c r="F12" s="230"/>
      <c r="G12" s="397"/>
      <c r="H12" s="398"/>
    </row>
    <row r="13" spans="1:8" s="330" customFormat="1" ht="12.75" customHeight="1" x14ac:dyDescent="0.25">
      <c r="A13" s="240"/>
      <c r="B13" s="241"/>
      <c r="C13" s="239"/>
      <c r="D13" s="233"/>
      <c r="F13" s="230"/>
      <c r="G13" s="399"/>
      <c r="H13" s="398"/>
    </row>
    <row r="14" spans="1:8" s="330" customFormat="1" ht="12.75" customHeight="1" x14ac:dyDescent="0.25">
      <c r="A14" s="237"/>
      <c r="B14" s="242"/>
      <c r="C14" s="239"/>
      <c r="D14" s="236"/>
      <c r="E14" s="242"/>
      <c r="F14" s="230"/>
      <c r="G14" s="397"/>
      <c r="H14" s="398"/>
    </row>
    <row r="15" spans="1:8" s="330" customFormat="1" ht="12.75" customHeight="1" x14ac:dyDescent="0.25">
      <c r="A15" s="237"/>
      <c r="B15" s="242"/>
      <c r="C15" s="243"/>
      <c r="D15" s="244"/>
      <c r="E15" s="241"/>
      <c r="F15" s="245"/>
      <c r="G15" s="400"/>
      <c r="H15" s="400"/>
    </row>
    <row r="16" spans="1:8" s="330" customFormat="1" ht="12.75" customHeight="1" x14ac:dyDescent="0.25">
      <c r="A16" s="237"/>
      <c r="B16" s="242"/>
      <c r="C16" s="243" t="s">
        <v>3</v>
      </c>
      <c r="D16" s="244"/>
      <c r="E16" s="242"/>
      <c r="F16" s="245"/>
      <c r="G16" s="400"/>
      <c r="H16" s="400"/>
    </row>
    <row r="17" spans="1:8" s="330" customFormat="1" ht="12.75" customHeight="1" x14ac:dyDescent="0.25">
      <c r="A17" s="237"/>
      <c r="B17" s="242"/>
      <c r="C17" s="243"/>
      <c r="D17" s="244"/>
      <c r="E17" s="242"/>
      <c r="F17" s="245"/>
      <c r="G17" s="247"/>
      <c r="H17" s="401"/>
    </row>
    <row r="18" spans="1:8" s="330" customFormat="1" ht="12.75" customHeight="1" x14ac:dyDescent="0.25">
      <c r="A18" s="237"/>
      <c r="B18" s="248"/>
      <c r="C18" s="243"/>
      <c r="D18" s="244"/>
      <c r="E18" s="242"/>
      <c r="F18" s="245"/>
      <c r="G18" s="400"/>
      <c r="H18" s="400"/>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5.75" thickBot="1" x14ac:dyDescent="0.3">
      <c r="A24" s="526"/>
      <c r="B24" s="527" t="s">
        <v>9</v>
      </c>
      <c r="C24" s="528">
        <f>SUM(C9:C23)</f>
        <v>0</v>
      </c>
      <c r="D24" s="529" t="s">
        <v>10</v>
      </c>
      <c r="E24" s="530"/>
      <c r="F24" s="531"/>
      <c r="G24" s="426">
        <f>SUM(G9:G23)</f>
        <v>130000</v>
      </c>
      <c r="H24" s="426">
        <f>SUM(H9:H23)</f>
        <v>130000</v>
      </c>
    </row>
    <row r="25" spans="1:8" s="330" customFormat="1" ht="15" customHeight="1" thickTop="1" x14ac:dyDescent="0.25"/>
    <row r="26" spans="1:8" s="330" customFormat="1" ht="15" customHeight="1" x14ac:dyDescent="0.25"/>
    <row r="27" spans="1:8" s="330" customFormat="1" ht="15" customHeight="1" x14ac:dyDescent="0.25"/>
    <row r="28" spans="1:8" s="330" customFormat="1" ht="15" customHeight="1" x14ac:dyDescent="0.25"/>
    <row r="29" spans="1:8" s="330" customFormat="1" ht="15" customHeight="1" x14ac:dyDescent="0.25"/>
    <row r="30" spans="1:8" s="330" customFormat="1" ht="15" customHeight="1" x14ac:dyDescent="0.25"/>
    <row r="31" spans="1:8" s="330" customFormat="1" ht="15" customHeight="1" x14ac:dyDescent="0.25"/>
    <row r="32" spans="1:8" s="330" customFormat="1" ht="15" customHeight="1" x14ac:dyDescent="0.25"/>
    <row r="33" s="330" customFormat="1" ht="15" customHeight="1" x14ac:dyDescent="0.25"/>
    <row r="34" s="330" customFormat="1" ht="15" customHeight="1" x14ac:dyDescent="0.25"/>
    <row r="35" s="330" customFormat="1" ht="15" customHeight="1" x14ac:dyDescent="0.25"/>
    <row r="36" s="330" customFormat="1" ht="15" customHeight="1" x14ac:dyDescent="0.25"/>
    <row r="37" s="330" customFormat="1" ht="15" customHeight="1" x14ac:dyDescent="0.25"/>
    <row r="38" s="330" customFormat="1" ht="1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pageSetUpPr fitToPage="1"/>
  </sheetPr>
  <dimension ref="A1:I51"/>
  <sheetViews>
    <sheetView tabSelected="1" topLeftCell="A2"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5703125" customWidth="1"/>
  </cols>
  <sheetData>
    <row r="1" spans="1:9" ht="15.75" x14ac:dyDescent="0.25">
      <c r="A1" s="78" t="str">
        <f>'RECAP #9279.41'!B1</f>
        <v>HHS WRC Linden Court Fire Suppression</v>
      </c>
      <c r="B1" s="79"/>
      <c r="C1" s="6"/>
      <c r="D1" s="6"/>
      <c r="E1" s="6"/>
      <c r="F1" s="124"/>
      <c r="G1" s="124"/>
      <c r="H1" s="125"/>
      <c r="I1" s="125"/>
    </row>
    <row r="2" spans="1:9" ht="15.75" x14ac:dyDescent="0.25">
      <c r="A2" s="81" t="str">
        <f>'RECAP #9279.41'!B2</f>
        <v>Project # 9279.41</v>
      </c>
      <c r="B2" s="80"/>
      <c r="C2" s="6"/>
      <c r="D2" s="6"/>
      <c r="E2" s="6"/>
      <c r="F2" s="124"/>
      <c r="G2" s="124"/>
      <c r="H2" s="125"/>
      <c r="I2" s="125"/>
    </row>
    <row r="3" spans="1:9" ht="15.75" x14ac:dyDescent="0.25">
      <c r="A3" s="82" t="str">
        <f>'RECAP #9279.41'!B3</f>
        <v>Program code 927941</v>
      </c>
      <c r="B3" s="80"/>
      <c r="C3" s="6"/>
      <c r="D3" s="83" t="str">
        <f>'RECAP #9279.41'!E3</f>
        <v>Major Program 4B02</v>
      </c>
      <c r="E3" s="6"/>
      <c r="F3" s="124"/>
      <c r="G3" s="124"/>
      <c r="H3" s="125"/>
      <c r="I3" s="125"/>
    </row>
    <row r="4" spans="1:9" ht="15.75" x14ac:dyDescent="0.25">
      <c r="A4" s="109" t="s">
        <v>171</v>
      </c>
      <c r="B4" s="126"/>
      <c r="C4" s="127"/>
      <c r="D4" s="128" t="s">
        <v>172</v>
      </c>
      <c r="E4" s="124"/>
      <c r="F4" s="124"/>
      <c r="G4" s="124"/>
      <c r="H4" s="125"/>
      <c r="I4" s="125"/>
    </row>
    <row r="5" spans="1:9" ht="15.75" x14ac:dyDescent="0.25">
      <c r="A5" s="129" t="s">
        <v>143</v>
      </c>
      <c r="B5" s="130"/>
      <c r="C5" s="131"/>
      <c r="D5" s="132" t="s">
        <v>477</v>
      </c>
      <c r="E5" s="133"/>
      <c r="F5" s="134"/>
      <c r="G5" s="134"/>
      <c r="H5" s="130"/>
      <c r="I5" s="125"/>
    </row>
    <row r="6" spans="1:9" ht="15.75" x14ac:dyDescent="0.25">
      <c r="A6" s="86" t="str">
        <f>'RECAP #9279.41'!B6</f>
        <v>Project Manager - Jennifer K.</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478</v>
      </c>
      <c r="B9" s="409">
        <v>45685</v>
      </c>
      <c r="C9" s="410" t="s">
        <v>107</v>
      </c>
      <c r="D9" s="411">
        <v>12436</v>
      </c>
      <c r="E9" s="412">
        <f>D9</f>
        <v>12436</v>
      </c>
      <c r="F9" s="413"/>
      <c r="G9" s="413"/>
      <c r="H9" s="413">
        <f>E9</f>
        <v>12436</v>
      </c>
      <c r="I9" s="414"/>
    </row>
    <row r="10" spans="1:9" s="330" customFormat="1" ht="12.75" customHeight="1" x14ac:dyDescent="0.25">
      <c r="A10" s="408" t="s">
        <v>533</v>
      </c>
      <c r="B10" s="240">
        <v>45708</v>
      </c>
      <c r="C10" s="410" t="s">
        <v>534</v>
      </c>
      <c r="D10" s="411"/>
      <c r="E10" s="412">
        <f t="shared" ref="E10:E21" si="0">E9+D10</f>
        <v>12436</v>
      </c>
      <c r="F10" s="445">
        <v>6218</v>
      </c>
      <c r="G10" s="413">
        <f t="shared" ref="G10:G21" si="1">G9+F10</f>
        <v>6218</v>
      </c>
      <c r="H10" s="413">
        <f t="shared" ref="H10:H21" si="2">H9-F10+D10</f>
        <v>6218</v>
      </c>
      <c r="I10" s="414"/>
    </row>
    <row r="11" spans="1:9" s="330" customFormat="1" ht="12.75" customHeight="1" x14ac:dyDescent="0.25">
      <c r="A11" s="408" t="s">
        <v>478</v>
      </c>
      <c r="B11" s="409">
        <v>45768</v>
      </c>
      <c r="C11" s="410" t="s">
        <v>301</v>
      </c>
      <c r="D11" s="411">
        <v>33409</v>
      </c>
      <c r="E11" s="412">
        <f t="shared" si="0"/>
        <v>45845</v>
      </c>
      <c r="F11" s="422"/>
      <c r="G11" s="413">
        <f t="shared" si="1"/>
        <v>6218</v>
      </c>
      <c r="H11" s="413">
        <f t="shared" si="2"/>
        <v>39627</v>
      </c>
      <c r="I11" s="414"/>
    </row>
    <row r="12" spans="1:9" s="330" customFormat="1" ht="12.75" customHeight="1" x14ac:dyDescent="0.25">
      <c r="A12" s="408" t="s">
        <v>691</v>
      </c>
      <c r="B12" s="409">
        <v>45771</v>
      </c>
      <c r="C12" s="410" t="s">
        <v>692</v>
      </c>
      <c r="D12" s="412"/>
      <c r="E12" s="412">
        <f t="shared" si="0"/>
        <v>45845</v>
      </c>
      <c r="F12" s="445">
        <v>6218</v>
      </c>
      <c r="G12" s="413">
        <f t="shared" si="1"/>
        <v>12436</v>
      </c>
      <c r="H12" s="413">
        <f t="shared" si="2"/>
        <v>33409</v>
      </c>
      <c r="I12" s="414"/>
    </row>
    <row r="13" spans="1:9" s="330" customFormat="1" ht="12.75" customHeight="1" x14ac:dyDescent="0.25">
      <c r="A13" s="415" t="s">
        <v>920</v>
      </c>
      <c r="B13" s="480">
        <v>45845</v>
      </c>
      <c r="C13" s="417" t="s">
        <v>921</v>
      </c>
      <c r="D13" s="418"/>
      <c r="E13" s="418">
        <f t="shared" si="0"/>
        <v>45845</v>
      </c>
      <c r="F13" s="419">
        <v>28999.01</v>
      </c>
      <c r="G13" s="420">
        <f t="shared" si="1"/>
        <v>41435.009999999995</v>
      </c>
      <c r="H13" s="420">
        <f t="shared" si="2"/>
        <v>4409.9900000000016</v>
      </c>
      <c r="I13" s="421" t="s">
        <v>1015</v>
      </c>
    </row>
    <row r="14" spans="1:9" s="330" customFormat="1" ht="12.75" customHeight="1" x14ac:dyDescent="0.25">
      <c r="A14" s="408" t="s">
        <v>1037</v>
      </c>
      <c r="B14" s="409">
        <v>45890</v>
      </c>
      <c r="C14" s="410" t="s">
        <v>1017</v>
      </c>
      <c r="D14" s="494">
        <v>0</v>
      </c>
      <c r="E14" s="412">
        <f t="shared" si="0"/>
        <v>45845</v>
      </c>
      <c r="F14" s="413"/>
      <c r="G14" s="413">
        <f t="shared" si="1"/>
        <v>41435.009999999995</v>
      </c>
      <c r="H14" s="413">
        <f t="shared" si="2"/>
        <v>4409.9900000000016</v>
      </c>
      <c r="I14" s="414"/>
    </row>
    <row r="15" spans="1:9" s="330" customFormat="1" ht="12.75" customHeight="1" x14ac:dyDescent="0.25">
      <c r="A15" s="408" t="s">
        <v>1037</v>
      </c>
      <c r="B15" s="409">
        <v>45912</v>
      </c>
      <c r="C15" s="522" t="s">
        <v>403</v>
      </c>
      <c r="D15" s="411">
        <v>52899</v>
      </c>
      <c r="E15" s="412">
        <f t="shared" si="0"/>
        <v>98744</v>
      </c>
      <c r="F15" s="422"/>
      <c r="G15" s="413">
        <f t="shared" si="1"/>
        <v>41435.009999999995</v>
      </c>
      <c r="H15" s="413">
        <f t="shared" si="2"/>
        <v>57308.990000000005</v>
      </c>
      <c r="I15" s="414"/>
    </row>
    <row r="16" spans="1:9" s="330" customFormat="1" ht="12.75" customHeight="1" x14ac:dyDescent="0.25">
      <c r="A16" s="408" t="s">
        <v>1458</v>
      </c>
      <c r="B16" s="409">
        <v>46028</v>
      </c>
      <c r="C16" s="410" t="s">
        <v>1459</v>
      </c>
      <c r="D16" s="412"/>
      <c r="E16" s="412">
        <f t="shared" si="0"/>
        <v>98744</v>
      </c>
      <c r="F16" s="445">
        <v>54278.99</v>
      </c>
      <c r="G16" s="413">
        <f t="shared" si="1"/>
        <v>95714</v>
      </c>
      <c r="H16" s="413">
        <f t="shared" si="2"/>
        <v>3030.0000000000073</v>
      </c>
      <c r="I16" s="414"/>
    </row>
    <row r="17" spans="1:9" s="330" customFormat="1" ht="12.75" customHeight="1" x14ac:dyDescent="0.25">
      <c r="A17" s="408"/>
      <c r="B17" s="409"/>
      <c r="C17" s="410"/>
      <c r="D17" s="412"/>
      <c r="E17" s="412">
        <f t="shared" si="0"/>
        <v>98744</v>
      </c>
      <c r="F17" s="422"/>
      <c r="G17" s="413">
        <f t="shared" si="1"/>
        <v>95714</v>
      </c>
      <c r="H17" s="413">
        <f t="shared" si="2"/>
        <v>3030.0000000000073</v>
      </c>
      <c r="I17" s="414"/>
    </row>
    <row r="18" spans="1:9" s="330" customFormat="1" ht="12.75" customHeight="1" x14ac:dyDescent="0.25">
      <c r="A18" s="408"/>
      <c r="B18" s="409"/>
      <c r="C18" s="410"/>
      <c r="D18" s="412"/>
      <c r="E18" s="412">
        <f t="shared" si="0"/>
        <v>98744</v>
      </c>
      <c r="F18" s="422"/>
      <c r="G18" s="413">
        <f t="shared" si="1"/>
        <v>95714</v>
      </c>
      <c r="H18" s="413">
        <f t="shared" si="2"/>
        <v>3030.0000000000073</v>
      </c>
      <c r="I18" s="414"/>
    </row>
    <row r="19" spans="1:9" s="330" customFormat="1" ht="12.75" customHeight="1" x14ac:dyDescent="0.25">
      <c r="A19" s="408"/>
      <c r="B19" s="409"/>
      <c r="C19" s="410"/>
      <c r="D19" s="412"/>
      <c r="E19" s="412">
        <f t="shared" si="0"/>
        <v>98744</v>
      </c>
      <c r="F19" s="413"/>
      <c r="G19" s="413">
        <f t="shared" si="1"/>
        <v>95714</v>
      </c>
      <c r="H19" s="413">
        <f t="shared" si="2"/>
        <v>3030.0000000000073</v>
      </c>
      <c r="I19" s="414"/>
    </row>
    <row r="20" spans="1:9" s="330" customFormat="1" ht="12.75" customHeight="1" x14ac:dyDescent="0.25">
      <c r="A20" s="408"/>
      <c r="B20" s="409"/>
      <c r="C20" s="410"/>
      <c r="D20" s="412"/>
      <c r="E20" s="412">
        <f t="shared" si="0"/>
        <v>98744</v>
      </c>
      <c r="F20" s="413"/>
      <c r="G20" s="413">
        <f t="shared" si="1"/>
        <v>95714</v>
      </c>
      <c r="H20" s="413">
        <f t="shared" si="2"/>
        <v>3030.0000000000073</v>
      </c>
      <c r="I20" s="414"/>
    </row>
    <row r="21" spans="1:9" s="330" customFormat="1" ht="12.75" customHeight="1" x14ac:dyDescent="0.25">
      <c r="A21" s="408"/>
      <c r="B21" s="409"/>
      <c r="C21" s="423"/>
      <c r="D21" s="412"/>
      <c r="E21" s="412">
        <f t="shared" si="0"/>
        <v>98744</v>
      </c>
      <c r="F21" s="413"/>
      <c r="G21" s="413">
        <f t="shared" si="1"/>
        <v>95714</v>
      </c>
      <c r="H21" s="413">
        <f t="shared" si="2"/>
        <v>3030.0000000000073</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98744</v>
      </c>
      <c r="E23" s="426"/>
      <c r="F23" s="426">
        <f>SUM(F9:F22)</f>
        <v>95714</v>
      </c>
      <c r="G23" s="426"/>
      <c r="H23" s="426">
        <f>D23-F23</f>
        <v>3030</v>
      </c>
      <c r="I23" s="491"/>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J47"/>
  <sheetViews>
    <sheetView tabSelected="1" topLeftCell="A8"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6.28515625" customWidth="1"/>
    <col min="5" max="5" width="15.42578125" customWidth="1"/>
    <col min="6" max="6" width="13.5703125" customWidth="1"/>
    <col min="7" max="7" width="12.42578125" customWidth="1"/>
    <col min="8" max="8" width="10.5703125" customWidth="1"/>
    <col min="9" max="9" width="10.5703125" bestFit="1" customWidth="1"/>
  </cols>
  <sheetData>
    <row r="1" spans="1:10" ht="15.75" x14ac:dyDescent="0.25">
      <c r="A1" s="78" t="str">
        <f>'RECAP #9279.41'!B1</f>
        <v>HHS WRC Linden Court Fire Suppression</v>
      </c>
      <c r="B1" s="79"/>
      <c r="C1" s="79"/>
      <c r="D1" s="6"/>
      <c r="E1" s="6"/>
      <c r="F1" s="6"/>
      <c r="G1" s="124"/>
      <c r="H1" s="124"/>
      <c r="I1" s="125"/>
      <c r="J1" s="125"/>
    </row>
    <row r="2" spans="1:10" ht="15.75" x14ac:dyDescent="0.25">
      <c r="A2" s="81" t="str">
        <f>'RECAP #9279.41'!B2</f>
        <v>Project # 9279.41</v>
      </c>
      <c r="B2" s="80"/>
      <c r="C2" s="80"/>
      <c r="D2" s="6"/>
      <c r="E2" s="6"/>
      <c r="F2" s="6"/>
      <c r="G2" s="124"/>
      <c r="H2" s="124"/>
      <c r="I2" s="125"/>
      <c r="J2" s="125"/>
    </row>
    <row r="3" spans="1:10" ht="15.75" x14ac:dyDescent="0.25">
      <c r="A3" s="82" t="str">
        <f>'RECAP #9279.41'!B3</f>
        <v>Program code 927941</v>
      </c>
      <c r="B3" s="80"/>
      <c r="C3" s="80"/>
      <c r="D3" s="6"/>
      <c r="E3" s="83" t="str">
        <f>'RECAP #9279.41'!E3</f>
        <v>Major Program 4B02</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61</v>
      </c>
      <c r="B5" s="130"/>
      <c r="C5" s="130"/>
      <c r="D5" s="131"/>
      <c r="E5" s="132"/>
      <c r="F5" s="133"/>
      <c r="G5" s="134"/>
      <c r="H5" s="134"/>
      <c r="I5" s="130"/>
      <c r="J5" s="125"/>
    </row>
    <row r="6" spans="1:10" ht="15.75" x14ac:dyDescent="0.25">
      <c r="A6" s="86" t="str">
        <f>'RECAP #9279.41'!B6</f>
        <v>Project Manager - Jennifer K.</v>
      </c>
      <c r="B6" s="86"/>
      <c r="C6" s="86"/>
      <c r="D6" s="135"/>
      <c r="E6" s="132" t="s">
        <v>430</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f>8000+1000+1500</f>
        <v>10500</v>
      </c>
      <c r="F9" s="412">
        <f>E9</f>
        <v>10500</v>
      </c>
      <c r="G9" s="413"/>
      <c r="H9" s="413"/>
      <c r="I9" s="413">
        <f>F9</f>
        <v>10500</v>
      </c>
      <c r="J9" s="414"/>
    </row>
    <row r="10" spans="1:10" s="330" customFormat="1" ht="12.75" customHeight="1" x14ac:dyDescent="0.25">
      <c r="A10" s="456" t="s">
        <v>506</v>
      </c>
      <c r="B10" s="468">
        <v>45699</v>
      </c>
      <c r="C10" s="469">
        <v>2507</v>
      </c>
      <c r="D10" s="458" t="s">
        <v>507</v>
      </c>
      <c r="E10" s="412"/>
      <c r="F10" s="412">
        <f t="shared" ref="F10:F42" si="0">F9+E10</f>
        <v>10500</v>
      </c>
      <c r="G10" s="445">
        <f>17.36+21.74</f>
        <v>39.099999999999994</v>
      </c>
      <c r="H10" s="413">
        <f t="shared" ref="H10:H42" si="1">H9+G10</f>
        <v>39.099999999999994</v>
      </c>
      <c r="I10" s="413">
        <f t="shared" ref="I10:I42" si="2">I9-G10+E10</f>
        <v>10460.9</v>
      </c>
      <c r="J10" s="414"/>
    </row>
    <row r="11" spans="1:10" s="330" customFormat="1" ht="12.75" customHeight="1" x14ac:dyDescent="0.25">
      <c r="A11" s="456" t="s">
        <v>506</v>
      </c>
      <c r="B11" s="468">
        <v>45699</v>
      </c>
      <c r="C11" s="469">
        <v>9500</v>
      </c>
      <c r="D11" s="231" t="s">
        <v>508</v>
      </c>
      <c r="E11" s="412"/>
      <c r="F11" s="412">
        <f t="shared" si="0"/>
        <v>10500</v>
      </c>
      <c r="G11" s="445">
        <f>25.5+391.6</f>
        <v>417.1</v>
      </c>
      <c r="H11" s="413">
        <f t="shared" si="1"/>
        <v>456.20000000000005</v>
      </c>
      <c r="I11" s="413">
        <f t="shared" si="2"/>
        <v>10043.799999999999</v>
      </c>
      <c r="J11" s="414"/>
    </row>
    <row r="12" spans="1:10" s="330" customFormat="1" ht="12.75" customHeight="1" x14ac:dyDescent="0.25">
      <c r="A12" s="456" t="s">
        <v>559</v>
      </c>
      <c r="B12" s="409">
        <v>45723</v>
      </c>
      <c r="C12" s="457">
        <v>2507</v>
      </c>
      <c r="D12" s="458" t="s">
        <v>560</v>
      </c>
      <c r="E12" s="412"/>
      <c r="F12" s="412">
        <f t="shared" si="0"/>
        <v>10500</v>
      </c>
      <c r="G12" s="445">
        <f>65.19+237.71</f>
        <v>302.89999999999998</v>
      </c>
      <c r="H12" s="413">
        <f t="shared" si="1"/>
        <v>759.1</v>
      </c>
      <c r="I12" s="413">
        <f t="shared" si="2"/>
        <v>9740.9</v>
      </c>
      <c r="J12" s="414"/>
    </row>
    <row r="13" spans="1:10" s="330" customFormat="1" ht="12.75" customHeight="1" x14ac:dyDescent="0.25">
      <c r="A13" s="456" t="s">
        <v>559</v>
      </c>
      <c r="B13" s="409">
        <v>45723</v>
      </c>
      <c r="C13" s="457">
        <v>9500</v>
      </c>
      <c r="D13" s="231" t="s">
        <v>561</v>
      </c>
      <c r="E13" s="412"/>
      <c r="F13" s="412">
        <f t="shared" si="0"/>
        <v>10500</v>
      </c>
      <c r="G13" s="445">
        <f>91+1218.8</f>
        <v>1309.8</v>
      </c>
      <c r="H13" s="413">
        <f t="shared" si="1"/>
        <v>2068.9</v>
      </c>
      <c r="I13" s="413">
        <f t="shared" si="2"/>
        <v>8431.1</v>
      </c>
      <c r="J13" s="414"/>
    </row>
    <row r="14" spans="1:10" s="330" customFormat="1" ht="12.75" customHeight="1" x14ac:dyDescent="0.25">
      <c r="A14" s="456" t="s">
        <v>656</v>
      </c>
      <c r="B14" s="409">
        <v>45756</v>
      </c>
      <c r="C14" s="457">
        <v>2507</v>
      </c>
      <c r="D14" s="458" t="s">
        <v>657</v>
      </c>
      <c r="E14" s="412"/>
      <c r="F14" s="412">
        <f t="shared" si="0"/>
        <v>10500</v>
      </c>
      <c r="G14" s="445">
        <f>8.89+13.32</f>
        <v>22.21</v>
      </c>
      <c r="H14" s="413">
        <f t="shared" si="1"/>
        <v>2091.11</v>
      </c>
      <c r="I14" s="413">
        <f t="shared" si="2"/>
        <v>8408.8900000000012</v>
      </c>
      <c r="J14" s="414"/>
    </row>
    <row r="15" spans="1:10" s="330" customFormat="1" ht="12.75" customHeight="1" x14ac:dyDescent="0.25">
      <c r="A15" s="456" t="s">
        <v>656</v>
      </c>
      <c r="B15" s="409">
        <v>45756</v>
      </c>
      <c r="C15" s="457">
        <v>9500</v>
      </c>
      <c r="D15" s="231" t="s">
        <v>658</v>
      </c>
      <c r="E15" s="412"/>
      <c r="F15" s="412">
        <f t="shared" si="0"/>
        <v>10500</v>
      </c>
      <c r="G15" s="445">
        <f>12.5+144.1</f>
        <v>156.6</v>
      </c>
      <c r="H15" s="413">
        <f t="shared" si="1"/>
        <v>2247.71</v>
      </c>
      <c r="I15" s="413">
        <f t="shared" si="2"/>
        <v>8252.2900000000009</v>
      </c>
      <c r="J15" s="414"/>
    </row>
    <row r="16" spans="1:10" s="330" customFormat="1" ht="12.75" customHeight="1" x14ac:dyDescent="0.25">
      <c r="A16" s="456" t="s">
        <v>727</v>
      </c>
      <c r="B16" s="409">
        <v>45786</v>
      </c>
      <c r="C16" s="457">
        <v>2507</v>
      </c>
      <c r="D16" s="458" t="s">
        <v>729</v>
      </c>
      <c r="E16" s="412"/>
      <c r="F16" s="412">
        <f t="shared" si="0"/>
        <v>10500</v>
      </c>
      <c r="G16" s="445">
        <f>17.36+23.14</f>
        <v>40.5</v>
      </c>
      <c r="H16" s="413">
        <f t="shared" si="1"/>
        <v>2288.21</v>
      </c>
      <c r="I16" s="413">
        <f t="shared" si="2"/>
        <v>8211.7900000000009</v>
      </c>
      <c r="J16" s="414"/>
    </row>
    <row r="17" spans="1:10" s="330" customFormat="1" ht="12.75" customHeight="1" x14ac:dyDescent="0.25">
      <c r="A17" s="456" t="s">
        <v>727</v>
      </c>
      <c r="B17" s="409">
        <v>45786</v>
      </c>
      <c r="C17" s="457">
        <v>9500</v>
      </c>
      <c r="D17" s="231" t="s">
        <v>730</v>
      </c>
      <c r="E17" s="412"/>
      <c r="F17" s="412">
        <f t="shared" si="0"/>
        <v>10500</v>
      </c>
      <c r="G17" s="445">
        <f>22+259.6</f>
        <v>281.60000000000002</v>
      </c>
      <c r="H17" s="413">
        <f t="shared" si="1"/>
        <v>2569.81</v>
      </c>
      <c r="I17" s="413">
        <f t="shared" si="2"/>
        <v>7930.1900000000005</v>
      </c>
      <c r="J17" s="414"/>
    </row>
    <row r="18" spans="1:10" s="330" customFormat="1" ht="12.75" customHeight="1" x14ac:dyDescent="0.25">
      <c r="A18" s="456" t="s">
        <v>822</v>
      </c>
      <c r="B18" s="409">
        <v>45817</v>
      </c>
      <c r="C18" s="457">
        <v>2507</v>
      </c>
      <c r="D18" s="458" t="s">
        <v>823</v>
      </c>
      <c r="E18" s="412"/>
      <c r="F18" s="412">
        <f t="shared" si="0"/>
        <v>10500</v>
      </c>
      <c r="G18" s="445">
        <f>3.39+2.8</f>
        <v>6.1899999999999995</v>
      </c>
      <c r="H18" s="413">
        <f t="shared" si="1"/>
        <v>2576</v>
      </c>
      <c r="I18" s="413">
        <f t="shared" si="2"/>
        <v>7924.0000000000009</v>
      </c>
      <c r="J18" s="414"/>
    </row>
    <row r="19" spans="1:10" s="330" customFormat="1" ht="12.75" customHeight="1" x14ac:dyDescent="0.25">
      <c r="A19" s="456" t="s">
        <v>822</v>
      </c>
      <c r="B19" s="409">
        <v>45817</v>
      </c>
      <c r="C19" s="457">
        <v>9500</v>
      </c>
      <c r="D19" s="231" t="s">
        <v>824</v>
      </c>
      <c r="E19" s="412"/>
      <c r="F19" s="412">
        <f t="shared" si="0"/>
        <v>10500</v>
      </c>
      <c r="G19" s="445">
        <f>4+42.9</f>
        <v>46.9</v>
      </c>
      <c r="H19" s="413">
        <f t="shared" si="1"/>
        <v>2622.9</v>
      </c>
      <c r="I19" s="413">
        <f t="shared" si="2"/>
        <v>7877.1000000000013</v>
      </c>
      <c r="J19" s="414"/>
    </row>
    <row r="20" spans="1:10" s="330" customFormat="1" ht="12.75" customHeight="1" x14ac:dyDescent="0.25">
      <c r="A20" s="456" t="s">
        <v>942</v>
      </c>
      <c r="B20" s="409">
        <v>45848</v>
      </c>
      <c r="C20" s="457">
        <v>2507</v>
      </c>
      <c r="D20" s="458" t="s">
        <v>943</v>
      </c>
      <c r="E20" s="412"/>
      <c r="F20" s="412">
        <f t="shared" si="0"/>
        <v>10500</v>
      </c>
      <c r="G20" s="445">
        <f>4.66+5.61</f>
        <v>10.27</v>
      </c>
      <c r="H20" s="413">
        <f t="shared" si="1"/>
        <v>2633.17</v>
      </c>
      <c r="I20" s="413">
        <f t="shared" si="2"/>
        <v>7866.8300000000008</v>
      </c>
      <c r="J20" s="414"/>
    </row>
    <row r="21" spans="1:10" s="330" customFormat="1" ht="12.75" customHeight="1" x14ac:dyDescent="0.25">
      <c r="A21" s="456" t="s">
        <v>942</v>
      </c>
      <c r="B21" s="409">
        <v>45848</v>
      </c>
      <c r="C21" s="457">
        <v>9500</v>
      </c>
      <c r="D21" s="231" t="s">
        <v>944</v>
      </c>
      <c r="E21" s="412"/>
      <c r="F21" s="412">
        <f t="shared" si="0"/>
        <v>10500</v>
      </c>
      <c r="G21" s="445">
        <f>7+74.8</f>
        <v>81.8</v>
      </c>
      <c r="H21" s="413">
        <f t="shared" si="1"/>
        <v>2714.9700000000003</v>
      </c>
      <c r="I21" s="413">
        <f t="shared" si="2"/>
        <v>7785.0300000000007</v>
      </c>
      <c r="J21" s="414"/>
    </row>
    <row r="22" spans="1:10" s="330" customFormat="1" ht="12.75" customHeight="1" x14ac:dyDescent="0.25">
      <c r="A22" s="456" t="s">
        <v>1009</v>
      </c>
      <c r="B22" s="409">
        <v>45876</v>
      </c>
      <c r="C22" s="457">
        <v>2507</v>
      </c>
      <c r="D22" s="458" t="s">
        <v>1010</v>
      </c>
      <c r="E22" s="412"/>
      <c r="F22" s="412">
        <f t="shared" si="0"/>
        <v>10500</v>
      </c>
      <c r="G22" s="445">
        <f>18.69+26.78</f>
        <v>45.47</v>
      </c>
      <c r="H22" s="413">
        <f t="shared" si="1"/>
        <v>2760.44</v>
      </c>
      <c r="I22" s="413">
        <f t="shared" si="2"/>
        <v>7739.56</v>
      </c>
      <c r="J22" s="414"/>
    </row>
    <row r="23" spans="1:10" s="330" customFormat="1" ht="12.75" customHeight="1" x14ac:dyDescent="0.25">
      <c r="A23" s="456" t="s">
        <v>1009</v>
      </c>
      <c r="B23" s="409">
        <v>45876</v>
      </c>
      <c r="C23" s="457">
        <v>9500</v>
      </c>
      <c r="D23" s="231" t="s">
        <v>1011</v>
      </c>
      <c r="E23" s="412"/>
      <c r="F23" s="412">
        <f t="shared" si="0"/>
        <v>10500</v>
      </c>
      <c r="G23" s="445">
        <f>32+469.7</f>
        <v>501.7</v>
      </c>
      <c r="H23" s="413">
        <f t="shared" si="1"/>
        <v>3262.14</v>
      </c>
      <c r="I23" s="413">
        <f t="shared" si="2"/>
        <v>7237.8600000000006</v>
      </c>
      <c r="J23" s="414"/>
    </row>
    <row r="24" spans="1:10" s="330" customFormat="1" ht="12.75" customHeight="1" x14ac:dyDescent="0.25">
      <c r="A24" s="456" t="s">
        <v>1177</v>
      </c>
      <c r="B24" s="409">
        <v>45908</v>
      </c>
      <c r="C24" s="457">
        <v>2507</v>
      </c>
      <c r="D24" s="458" t="s">
        <v>1182</v>
      </c>
      <c r="E24" s="412"/>
      <c r="F24" s="412">
        <f t="shared" si="0"/>
        <v>10500</v>
      </c>
      <c r="G24" s="445">
        <v>94.58</v>
      </c>
      <c r="H24" s="413">
        <f t="shared" si="1"/>
        <v>3356.72</v>
      </c>
      <c r="I24" s="413">
        <f t="shared" si="2"/>
        <v>7143.2800000000007</v>
      </c>
      <c r="J24" s="414"/>
    </row>
    <row r="25" spans="1:10" s="330" customFormat="1" ht="12.75" customHeight="1" x14ac:dyDescent="0.25">
      <c r="A25" s="456" t="s">
        <v>1177</v>
      </c>
      <c r="B25" s="409">
        <v>45908</v>
      </c>
      <c r="C25" s="457">
        <v>9500</v>
      </c>
      <c r="D25" s="231" t="s">
        <v>1181</v>
      </c>
      <c r="E25" s="412"/>
      <c r="F25" s="412">
        <f t="shared" si="0"/>
        <v>10500</v>
      </c>
      <c r="G25" s="445">
        <v>723.8</v>
      </c>
      <c r="H25" s="413">
        <f t="shared" si="1"/>
        <v>4080.5199999999995</v>
      </c>
      <c r="I25" s="413">
        <f t="shared" si="2"/>
        <v>6419.4800000000005</v>
      </c>
      <c r="J25" s="414"/>
    </row>
    <row r="26" spans="1:10" s="330" customFormat="1" ht="12.75" customHeight="1" x14ac:dyDescent="0.25">
      <c r="A26" s="456" t="s">
        <v>1233</v>
      </c>
      <c r="B26" s="409">
        <v>45937</v>
      </c>
      <c r="C26" s="457" t="s">
        <v>1234</v>
      </c>
      <c r="D26" s="458" t="s">
        <v>1235</v>
      </c>
      <c r="E26" s="412"/>
      <c r="F26" s="412">
        <f t="shared" si="0"/>
        <v>10500</v>
      </c>
      <c r="G26" s="445">
        <v>355.38</v>
      </c>
      <c r="H26" s="413">
        <f t="shared" si="1"/>
        <v>4435.8999999999996</v>
      </c>
      <c r="I26" s="413">
        <f t="shared" si="2"/>
        <v>6064.1</v>
      </c>
      <c r="J26" s="414"/>
    </row>
    <row r="27" spans="1:10" s="330" customFormat="1" ht="12.75" customHeight="1" x14ac:dyDescent="0.25">
      <c r="A27" s="456" t="s">
        <v>1233</v>
      </c>
      <c r="B27" s="409">
        <v>45937</v>
      </c>
      <c r="C27" s="457">
        <v>9500</v>
      </c>
      <c r="D27" s="231" t="s">
        <v>1236</v>
      </c>
      <c r="E27" s="412"/>
      <c r="F27" s="412">
        <f t="shared" si="0"/>
        <v>10500</v>
      </c>
      <c r="G27" s="445">
        <v>1826.1</v>
      </c>
      <c r="H27" s="413">
        <f t="shared" si="1"/>
        <v>6262</v>
      </c>
      <c r="I27" s="413">
        <f t="shared" si="2"/>
        <v>4238</v>
      </c>
      <c r="J27" s="414"/>
    </row>
    <row r="28" spans="1:10" s="330" customFormat="1" ht="12.75" customHeight="1" x14ac:dyDescent="0.25">
      <c r="A28" s="456" t="s">
        <v>1322</v>
      </c>
      <c r="B28" s="409">
        <v>45968</v>
      </c>
      <c r="C28" s="457" t="s">
        <v>1234</v>
      </c>
      <c r="D28" s="458" t="s">
        <v>1327</v>
      </c>
      <c r="E28" s="412"/>
      <c r="F28" s="412">
        <f t="shared" si="0"/>
        <v>10500</v>
      </c>
      <c r="G28" s="445">
        <v>71.84</v>
      </c>
      <c r="H28" s="413">
        <f t="shared" si="1"/>
        <v>6333.84</v>
      </c>
      <c r="I28" s="413">
        <f t="shared" si="2"/>
        <v>4166.16</v>
      </c>
      <c r="J28" s="414"/>
    </row>
    <row r="29" spans="1:10" s="330" customFormat="1" ht="12.75" customHeight="1" x14ac:dyDescent="0.25">
      <c r="A29" s="456" t="s">
        <v>1322</v>
      </c>
      <c r="B29" s="409">
        <v>45968</v>
      </c>
      <c r="C29" s="457">
        <v>9500</v>
      </c>
      <c r="D29" s="231" t="s">
        <v>1326</v>
      </c>
      <c r="E29" s="412"/>
      <c r="F29" s="412">
        <f t="shared" si="0"/>
        <v>10500</v>
      </c>
      <c r="G29" s="445">
        <v>714.3</v>
      </c>
      <c r="H29" s="413">
        <f t="shared" si="1"/>
        <v>7048.14</v>
      </c>
      <c r="I29" s="413">
        <f t="shared" si="2"/>
        <v>3451.8599999999997</v>
      </c>
      <c r="J29" s="414"/>
    </row>
    <row r="30" spans="1:10" s="330" customFormat="1" ht="12.75" customHeight="1" x14ac:dyDescent="0.2">
      <c r="A30" s="169" t="s">
        <v>1423</v>
      </c>
      <c r="B30" s="145">
        <v>45996</v>
      </c>
      <c r="C30" s="147" t="s">
        <v>1234</v>
      </c>
      <c r="D30" s="222" t="s">
        <v>1424</v>
      </c>
      <c r="E30" s="412"/>
      <c r="F30" s="412">
        <f t="shared" si="0"/>
        <v>10500</v>
      </c>
      <c r="G30" s="445">
        <v>32.6</v>
      </c>
      <c r="H30" s="413">
        <f t="shared" si="1"/>
        <v>7080.7400000000007</v>
      </c>
      <c r="I30" s="413">
        <f t="shared" si="2"/>
        <v>3419.2599999999998</v>
      </c>
      <c r="J30" s="414"/>
    </row>
    <row r="31" spans="1:10" s="330" customFormat="1" ht="12.75" customHeight="1" x14ac:dyDescent="0.2">
      <c r="A31" s="169" t="s">
        <v>1423</v>
      </c>
      <c r="B31" s="145">
        <v>45996</v>
      </c>
      <c r="C31" s="346">
        <v>9500</v>
      </c>
      <c r="D31" s="119" t="s">
        <v>1425</v>
      </c>
      <c r="E31" s="412"/>
      <c r="F31" s="412">
        <f t="shared" si="0"/>
        <v>10500</v>
      </c>
      <c r="G31" s="445">
        <v>205.6</v>
      </c>
      <c r="H31" s="413">
        <f t="shared" si="1"/>
        <v>7286.3400000000011</v>
      </c>
      <c r="I31" s="413">
        <f t="shared" si="2"/>
        <v>3213.66</v>
      </c>
      <c r="J31" s="414"/>
    </row>
    <row r="32" spans="1:10" s="330" customFormat="1" ht="12.75" customHeight="1" x14ac:dyDescent="0.2">
      <c r="A32" s="169" t="s">
        <v>1482</v>
      </c>
      <c r="B32" s="145">
        <v>46030</v>
      </c>
      <c r="C32" s="147" t="s">
        <v>1234</v>
      </c>
      <c r="D32" s="222" t="s">
        <v>1483</v>
      </c>
      <c r="E32" s="412"/>
      <c r="F32" s="412">
        <f t="shared" si="0"/>
        <v>10500</v>
      </c>
      <c r="G32" s="445">
        <v>29.99</v>
      </c>
      <c r="H32" s="413">
        <f t="shared" si="1"/>
        <v>7316.3300000000008</v>
      </c>
      <c r="I32" s="413">
        <f t="shared" si="2"/>
        <v>3183.67</v>
      </c>
      <c r="J32" s="414"/>
    </row>
    <row r="33" spans="1:10" s="330" customFormat="1" ht="12.75" customHeight="1" x14ac:dyDescent="0.2">
      <c r="A33" s="169" t="s">
        <v>1482</v>
      </c>
      <c r="B33" s="145">
        <v>46030</v>
      </c>
      <c r="C33" s="346">
        <v>9500</v>
      </c>
      <c r="D33" s="119" t="s">
        <v>1484</v>
      </c>
      <c r="E33" s="412"/>
      <c r="F33" s="412">
        <f t="shared" si="0"/>
        <v>10500</v>
      </c>
      <c r="G33" s="445">
        <v>340.6</v>
      </c>
      <c r="H33" s="413">
        <f t="shared" si="1"/>
        <v>7656.9300000000012</v>
      </c>
      <c r="I33" s="413">
        <f t="shared" si="2"/>
        <v>2843.07</v>
      </c>
      <c r="J33" s="414"/>
    </row>
    <row r="34" spans="1:10" s="330" customFormat="1" ht="12.75" customHeight="1" x14ac:dyDescent="0.2">
      <c r="A34" s="169" t="s">
        <v>1545</v>
      </c>
      <c r="B34" s="145">
        <v>46062</v>
      </c>
      <c r="C34" s="147" t="s">
        <v>1234</v>
      </c>
      <c r="D34" s="222" t="s">
        <v>1546</v>
      </c>
      <c r="E34" s="412"/>
      <c r="F34" s="412">
        <f t="shared" si="0"/>
        <v>10500</v>
      </c>
      <c r="G34" s="445">
        <v>93.73</v>
      </c>
      <c r="H34" s="413">
        <f t="shared" si="1"/>
        <v>7750.6600000000008</v>
      </c>
      <c r="I34" s="413">
        <f t="shared" si="2"/>
        <v>2749.34</v>
      </c>
      <c r="J34" s="414"/>
    </row>
    <row r="35" spans="1:10" s="330" customFormat="1" ht="12.75" customHeight="1" x14ac:dyDescent="0.2">
      <c r="A35" s="169" t="s">
        <v>1545</v>
      </c>
      <c r="B35" s="145">
        <v>46062</v>
      </c>
      <c r="C35" s="346">
        <v>9500</v>
      </c>
      <c r="D35" s="119" t="s">
        <v>1547</v>
      </c>
      <c r="E35" s="412"/>
      <c r="F35" s="412">
        <f t="shared" si="0"/>
        <v>10500</v>
      </c>
      <c r="G35" s="445">
        <v>1167.9000000000001</v>
      </c>
      <c r="H35" s="413">
        <f t="shared" si="1"/>
        <v>8918.5600000000013</v>
      </c>
      <c r="I35" s="413">
        <f t="shared" si="2"/>
        <v>1581.44</v>
      </c>
      <c r="J35" s="414"/>
    </row>
    <row r="36" spans="1:10" s="330" customFormat="1" ht="12.75" customHeight="1" x14ac:dyDescent="0.2">
      <c r="A36" s="169" t="s">
        <v>1663</v>
      </c>
      <c r="B36" s="145">
        <v>46090</v>
      </c>
      <c r="C36" s="147" t="s">
        <v>1234</v>
      </c>
      <c r="D36" s="222" t="s">
        <v>1664</v>
      </c>
      <c r="E36" s="412"/>
      <c r="F36" s="412">
        <f t="shared" si="0"/>
        <v>10500</v>
      </c>
      <c r="G36" s="445">
        <v>36.409999999999997</v>
      </c>
      <c r="H36" s="413">
        <f t="shared" si="1"/>
        <v>8954.9700000000012</v>
      </c>
      <c r="I36" s="413">
        <f t="shared" si="2"/>
        <v>1545.03</v>
      </c>
      <c r="J36" s="414"/>
    </row>
    <row r="37" spans="1:10" s="330" customFormat="1" ht="12.75" customHeight="1" x14ac:dyDescent="0.2">
      <c r="A37" s="169" t="s">
        <v>1663</v>
      </c>
      <c r="B37" s="145">
        <v>46090</v>
      </c>
      <c r="C37" s="346">
        <v>9500</v>
      </c>
      <c r="D37" s="119" t="s">
        <v>1665</v>
      </c>
      <c r="E37" s="412"/>
      <c r="F37" s="412">
        <f t="shared" si="0"/>
        <v>10500</v>
      </c>
      <c r="G37" s="445">
        <v>418.8</v>
      </c>
      <c r="H37" s="413">
        <f t="shared" si="1"/>
        <v>9373.77</v>
      </c>
      <c r="I37" s="413">
        <f t="shared" si="2"/>
        <v>1126.23</v>
      </c>
      <c r="J37" s="414"/>
    </row>
    <row r="38" spans="1:10" s="330" customFormat="1" ht="12.75" customHeight="1" x14ac:dyDescent="0.2">
      <c r="A38" s="169" t="s">
        <v>1751</v>
      </c>
      <c r="B38" s="145">
        <v>46118</v>
      </c>
      <c r="C38" s="147" t="s">
        <v>1234</v>
      </c>
      <c r="D38" s="222" t="s">
        <v>1752</v>
      </c>
      <c r="E38" s="412"/>
      <c r="F38" s="412">
        <f t="shared" si="0"/>
        <v>10500</v>
      </c>
      <c r="G38" s="445">
        <v>11.15</v>
      </c>
      <c r="H38" s="413">
        <f t="shared" si="1"/>
        <v>9384.92</v>
      </c>
      <c r="I38" s="413">
        <f t="shared" si="2"/>
        <v>1115.08</v>
      </c>
      <c r="J38" s="414"/>
    </row>
    <row r="39" spans="1:10" s="330" customFormat="1" ht="12.75" customHeight="1" x14ac:dyDescent="0.2">
      <c r="A39" s="169" t="s">
        <v>1751</v>
      </c>
      <c r="B39" s="145">
        <v>46118</v>
      </c>
      <c r="C39" s="346">
        <v>9500</v>
      </c>
      <c r="D39" s="119" t="s">
        <v>1753</v>
      </c>
      <c r="E39" s="412"/>
      <c r="F39" s="412">
        <f t="shared" si="0"/>
        <v>10500</v>
      </c>
      <c r="G39" s="445">
        <v>89.1</v>
      </c>
      <c r="H39" s="413">
        <f t="shared" si="1"/>
        <v>9474.02</v>
      </c>
      <c r="I39" s="413">
        <f t="shared" si="2"/>
        <v>1025.98</v>
      </c>
      <c r="J39" s="414"/>
    </row>
    <row r="40" spans="1:10" s="330" customFormat="1" ht="12.75" customHeight="1" x14ac:dyDescent="0.2">
      <c r="A40" s="169"/>
      <c r="B40" s="145"/>
      <c r="C40" s="346"/>
      <c r="D40" s="119"/>
      <c r="E40" s="412"/>
      <c r="F40" s="412">
        <f t="shared" si="0"/>
        <v>10500</v>
      </c>
      <c r="G40" s="422"/>
      <c r="H40" s="413">
        <f t="shared" si="1"/>
        <v>9474.02</v>
      </c>
      <c r="I40" s="413">
        <f t="shared" si="2"/>
        <v>1025.98</v>
      </c>
      <c r="J40" s="414"/>
    </row>
    <row r="41" spans="1:10" s="330" customFormat="1" ht="12.75" customHeight="1" x14ac:dyDescent="0.2">
      <c r="A41" s="169"/>
      <c r="B41" s="145"/>
      <c r="C41" s="346"/>
      <c r="D41" s="119"/>
      <c r="E41" s="412"/>
      <c r="F41" s="412">
        <f t="shared" si="0"/>
        <v>10500</v>
      </c>
      <c r="G41" s="422"/>
      <c r="H41" s="413">
        <f t="shared" si="1"/>
        <v>9474.02</v>
      </c>
      <c r="I41" s="413">
        <f t="shared" si="2"/>
        <v>1025.98</v>
      </c>
      <c r="J41" s="414"/>
    </row>
    <row r="42" spans="1:10" s="330" customFormat="1" ht="12.75" customHeight="1" x14ac:dyDescent="0.25">
      <c r="A42" s="456"/>
      <c r="B42" s="409"/>
      <c r="C42" s="457"/>
      <c r="D42" s="231"/>
      <c r="E42" s="412"/>
      <c r="F42" s="412">
        <f t="shared" si="0"/>
        <v>10500</v>
      </c>
      <c r="G42" s="445"/>
      <c r="H42" s="413">
        <f t="shared" si="1"/>
        <v>9474.02</v>
      </c>
      <c r="I42" s="413">
        <f t="shared" si="2"/>
        <v>1025.98</v>
      </c>
      <c r="J42" s="414"/>
    </row>
    <row r="43" spans="1:10" s="330" customFormat="1" ht="12.75" customHeight="1" x14ac:dyDescent="0.25">
      <c r="A43" s="231"/>
      <c r="B43" s="410"/>
      <c r="C43" s="457"/>
      <c r="D43" s="425"/>
      <c r="E43" s="413"/>
      <c r="F43" s="413"/>
      <c r="G43" s="413"/>
      <c r="H43" s="413"/>
      <c r="I43" s="413"/>
      <c r="J43" s="414"/>
    </row>
    <row r="44" spans="1:10" s="330" customFormat="1" ht="12.75" customHeight="1" thickBot="1" x14ac:dyDescent="0.3">
      <c r="A44" s="231"/>
      <c r="B44" s="449"/>
      <c r="C44" s="457"/>
      <c r="D44" s="450" t="s">
        <v>54</v>
      </c>
      <c r="E44" s="426">
        <f>SUM(E9:E43)</f>
        <v>10500</v>
      </c>
      <c r="F44" s="426"/>
      <c r="G44" s="426">
        <f>SUM(G9:G43)</f>
        <v>9474.02</v>
      </c>
      <c r="H44" s="426"/>
      <c r="I44" s="426">
        <f>E44-G44</f>
        <v>1025.9799999999996</v>
      </c>
      <c r="J44" s="414"/>
    </row>
    <row r="45" spans="1:10" s="330" customFormat="1" ht="12.75" customHeight="1" thickTop="1" x14ac:dyDescent="0.25"/>
    <row r="46" spans="1:10" s="330" customFormat="1" ht="12.75" customHeight="1" x14ac:dyDescent="0.25"/>
    <row r="47" spans="1:10" s="330"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6">
    <tabColor indexed="30"/>
    <pageSetUpPr fitToPage="1"/>
  </sheetPr>
  <dimension ref="A1:H74"/>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#9279.41'!B1</f>
        <v>HHS WRC Linden Court Fire Suppression</v>
      </c>
      <c r="B1" s="79"/>
      <c r="C1" s="79"/>
      <c r="D1" s="79"/>
      <c r="E1" s="6"/>
      <c r="F1" s="6"/>
      <c r="G1" s="6"/>
      <c r="H1" s="124"/>
    </row>
    <row r="2" spans="1:8" ht="15.75" x14ac:dyDescent="0.25">
      <c r="A2" s="81" t="str">
        <f>'RECAP #9279.41'!B2</f>
        <v>Project # 9279.41</v>
      </c>
      <c r="B2" s="80"/>
      <c r="C2" s="80"/>
      <c r="D2" s="80"/>
      <c r="E2" s="6"/>
      <c r="F2" s="6"/>
      <c r="G2" s="6"/>
      <c r="H2" s="124"/>
    </row>
    <row r="3" spans="1:8" ht="15.75" x14ac:dyDescent="0.25">
      <c r="A3" s="82" t="str">
        <f>'RECAP #9279.41'!B3</f>
        <v>Program code 927941</v>
      </c>
      <c r="B3" s="80"/>
      <c r="C3" s="80"/>
      <c r="D3" s="80"/>
      <c r="E3" s="83" t="str">
        <f>'RECAP #9279.41'!E3</f>
        <v>Major Program 4B02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#9279.41'!B6</f>
        <v>Project Manager - Jennifer K.</v>
      </c>
      <c r="B6" s="86"/>
      <c r="C6" s="86"/>
      <c r="D6" s="86"/>
      <c r="E6" s="83" t="s">
        <v>479</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59"/>
      <c r="B9" s="483"/>
      <c r="C9" s="487"/>
      <c r="D9" s="423"/>
      <c r="E9" s="408"/>
      <c r="F9" s="485"/>
      <c r="G9" s="461"/>
      <c r="H9" s="461">
        <f>G9</f>
        <v>0</v>
      </c>
    </row>
    <row r="10" spans="1:8" s="330" customFormat="1" ht="12.75" customHeight="1" x14ac:dyDescent="0.25">
      <c r="A10" s="408"/>
      <c r="B10" s="483"/>
      <c r="C10" s="487"/>
      <c r="D10" s="423"/>
      <c r="E10" s="459"/>
      <c r="F10" s="381"/>
      <c r="G10" s="461"/>
      <c r="H10" s="461">
        <f>H9+G10</f>
        <v>0</v>
      </c>
    </row>
    <row r="11" spans="1:8" s="330" customFormat="1" ht="12.75" customHeight="1" x14ac:dyDescent="0.25">
      <c r="A11" s="408"/>
      <c r="B11" s="483"/>
      <c r="C11" s="487"/>
      <c r="D11" s="423"/>
      <c r="E11" s="459"/>
      <c r="F11" s="381"/>
      <c r="G11" s="461"/>
      <c r="H11" s="461">
        <f t="shared" ref="H11:H20" si="0">H10+G11</f>
        <v>0</v>
      </c>
    </row>
    <row r="12" spans="1:8" s="330" customFormat="1" ht="12.75" customHeight="1" x14ac:dyDescent="0.25">
      <c r="A12" s="408" t="s">
        <v>3</v>
      </c>
      <c r="B12" s="483" t="s">
        <v>3</v>
      </c>
      <c r="C12" s="487"/>
      <c r="D12" s="423"/>
      <c r="E12" s="459" t="s">
        <v>3</v>
      </c>
      <c r="F12" s="381"/>
      <c r="G12" s="461"/>
      <c r="H12" s="461">
        <f t="shared" si="0"/>
        <v>0</v>
      </c>
    </row>
    <row r="13" spans="1:8" s="330" customFormat="1" ht="12.75" customHeight="1" x14ac:dyDescent="0.25">
      <c r="A13" s="408" t="s">
        <v>3</v>
      </c>
      <c r="B13" s="483" t="s">
        <v>3</v>
      </c>
      <c r="C13" s="487"/>
      <c r="D13" s="423"/>
      <c r="E13" s="459" t="s">
        <v>3</v>
      </c>
      <c r="F13" s="381"/>
      <c r="G13" s="461"/>
      <c r="H13" s="461">
        <f t="shared" si="0"/>
        <v>0</v>
      </c>
    </row>
    <row r="14" spans="1:8" s="330" customFormat="1" ht="12.75" customHeight="1" x14ac:dyDescent="0.25">
      <c r="A14" s="408"/>
      <c r="B14" s="483"/>
      <c r="C14" s="487"/>
      <c r="D14" s="423"/>
      <c r="E14" s="459"/>
      <c r="F14" s="381"/>
      <c r="G14" s="461"/>
      <c r="H14" s="461">
        <f t="shared" si="0"/>
        <v>0</v>
      </c>
    </row>
    <row r="15" spans="1:8" s="330" customFormat="1" ht="12.75" customHeight="1" x14ac:dyDescent="0.25">
      <c r="A15" s="408"/>
      <c r="B15" s="483"/>
      <c r="C15" s="487"/>
      <c r="D15" s="423"/>
      <c r="E15" s="464"/>
      <c r="F15" s="381"/>
      <c r="G15" s="461"/>
      <c r="H15" s="461">
        <f t="shared" si="0"/>
        <v>0</v>
      </c>
    </row>
    <row r="16" spans="1:8" s="330" customFormat="1" ht="12.75" customHeight="1" x14ac:dyDescent="0.25">
      <c r="A16" s="408"/>
      <c r="B16" s="483"/>
      <c r="C16" s="487"/>
      <c r="D16" s="423"/>
      <c r="E16" s="459"/>
      <c r="F16" s="381"/>
      <c r="G16" s="461"/>
      <c r="H16" s="461">
        <f t="shared" si="0"/>
        <v>0</v>
      </c>
    </row>
    <row r="17" spans="1:8" s="330" customFormat="1" ht="12.75" customHeight="1" x14ac:dyDescent="0.25">
      <c r="A17" s="408"/>
      <c r="B17" s="483"/>
      <c r="C17" s="487"/>
      <c r="D17" s="423"/>
      <c r="E17" s="459"/>
      <c r="F17" s="381"/>
      <c r="G17" s="461"/>
      <c r="H17" s="461">
        <f t="shared" si="0"/>
        <v>0</v>
      </c>
    </row>
    <row r="18" spans="1:8" s="330" customFormat="1" ht="12.75" customHeight="1" x14ac:dyDescent="0.25">
      <c r="A18" s="408"/>
      <c r="B18" s="483"/>
      <c r="C18" s="487"/>
      <c r="D18" s="423"/>
      <c r="E18" s="459"/>
      <c r="F18" s="381"/>
      <c r="G18" s="461"/>
      <c r="H18" s="461">
        <f t="shared" si="0"/>
        <v>0</v>
      </c>
    </row>
    <row r="19" spans="1:8" s="330" customFormat="1" ht="12.75" customHeight="1" x14ac:dyDescent="0.25">
      <c r="A19" s="408"/>
      <c r="B19" s="483"/>
      <c r="C19" s="487"/>
      <c r="D19" s="423"/>
      <c r="E19" s="459"/>
      <c r="F19" s="381"/>
      <c r="G19" s="461"/>
      <c r="H19" s="461">
        <f t="shared" si="0"/>
        <v>0</v>
      </c>
    </row>
    <row r="20" spans="1:8" s="330" customFormat="1" ht="12.75" customHeight="1" x14ac:dyDescent="0.25">
      <c r="A20" s="408"/>
      <c r="B20" s="483"/>
      <c r="C20" s="487"/>
      <c r="D20" s="423"/>
      <c r="E20" s="459"/>
      <c r="F20" s="381"/>
      <c r="G20" s="461"/>
      <c r="H20" s="461">
        <f t="shared" si="0"/>
        <v>0</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54</v>
      </c>
      <c r="F22" s="467"/>
      <c r="G22" s="426">
        <f>SUM(G9:G21)</f>
        <v>0</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7">
    <pageSetUpPr fitToPage="1"/>
  </sheetPr>
  <dimension ref="A1:K32"/>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 customWidth="1"/>
  </cols>
  <sheetData>
    <row r="1" spans="1:11" ht="15.75" x14ac:dyDescent="0.25">
      <c r="A1" s="78" t="str">
        <f>'RECAP #9279.41'!B1</f>
        <v>HHS WRC Linden Court Fire Suppression</v>
      </c>
      <c r="B1" s="79"/>
      <c r="C1" s="6"/>
      <c r="D1" s="6"/>
      <c r="E1" s="6"/>
      <c r="F1" s="124"/>
      <c r="G1" s="124"/>
      <c r="H1" s="125"/>
      <c r="I1" s="125"/>
    </row>
    <row r="2" spans="1:11" ht="15.75" x14ac:dyDescent="0.25">
      <c r="A2" s="81" t="str">
        <f>'RECAP #9279.41'!B2</f>
        <v>Project # 9279.41</v>
      </c>
      <c r="B2" s="80"/>
      <c r="C2" s="6"/>
      <c r="D2" s="6"/>
      <c r="E2" s="6"/>
      <c r="F2" s="124"/>
      <c r="G2" s="124"/>
      <c r="H2" s="125"/>
      <c r="I2" s="125"/>
    </row>
    <row r="3" spans="1:11" ht="15.75" x14ac:dyDescent="0.25">
      <c r="A3" s="82" t="str">
        <f>'RECAP #9279.41'!B3</f>
        <v>Program code 927941</v>
      </c>
      <c r="B3" s="80"/>
      <c r="C3" s="6"/>
      <c r="D3" s="83" t="str">
        <f>'RECAP #9279.41'!E3</f>
        <v>Major Program 4B02</v>
      </c>
      <c r="E3" s="6"/>
      <c r="F3" s="124"/>
      <c r="G3" s="124"/>
      <c r="H3" s="125"/>
      <c r="I3" s="125"/>
    </row>
    <row r="4" spans="1:11" ht="15.75" x14ac:dyDescent="0.25">
      <c r="A4" s="109" t="s">
        <v>188</v>
      </c>
      <c r="B4" s="126"/>
      <c r="C4" s="127"/>
      <c r="D4" s="128" t="s">
        <v>189</v>
      </c>
      <c r="E4" s="124"/>
      <c r="F4" s="124"/>
      <c r="G4" s="124"/>
      <c r="H4" s="125"/>
      <c r="I4" s="125"/>
    </row>
    <row r="5" spans="1:11" ht="15.75" x14ac:dyDescent="0.25">
      <c r="A5" s="129" t="s">
        <v>109</v>
      </c>
      <c r="B5" s="130"/>
      <c r="C5" s="131"/>
      <c r="D5" s="132" t="s">
        <v>190</v>
      </c>
      <c r="E5" s="133"/>
      <c r="F5" s="134"/>
      <c r="G5" s="134"/>
      <c r="H5" s="130"/>
      <c r="I5" s="125"/>
    </row>
    <row r="6" spans="1:11" ht="15.75" x14ac:dyDescent="0.25">
      <c r="A6" s="86" t="str">
        <f>'RECAP #9279.41'!B6</f>
        <v>Project Manager - Jennifer K.</v>
      </c>
      <c r="B6" s="86"/>
      <c r="C6" s="135"/>
      <c r="D6" s="136" t="s">
        <v>116</v>
      </c>
      <c r="E6" s="137"/>
      <c r="F6" s="138"/>
      <c r="G6" s="134"/>
      <c r="H6" s="130"/>
      <c r="I6" s="125"/>
    </row>
    <row r="7" spans="1:11" ht="15.75" x14ac:dyDescent="0.25">
      <c r="A7" s="125"/>
      <c r="B7" s="139"/>
      <c r="C7" s="139"/>
      <c r="D7" s="125"/>
      <c r="E7" s="138"/>
      <c r="F7" s="138"/>
      <c r="G7" s="134"/>
      <c r="H7" s="130"/>
      <c r="I7" s="125" t="s">
        <v>3</v>
      </c>
    </row>
    <row r="8" spans="1:11" ht="32.25" thickBot="1" x14ac:dyDescent="0.3">
      <c r="A8" s="140" t="s">
        <v>49</v>
      </c>
      <c r="B8" s="141" t="s">
        <v>4</v>
      </c>
      <c r="C8" s="142" t="s">
        <v>11</v>
      </c>
      <c r="D8" s="143" t="s">
        <v>50</v>
      </c>
      <c r="E8" s="143" t="s">
        <v>51</v>
      </c>
      <c r="F8" s="143" t="s">
        <v>52</v>
      </c>
      <c r="G8" s="143" t="s">
        <v>53</v>
      </c>
      <c r="H8" s="143" t="s">
        <v>12</v>
      </c>
      <c r="I8" s="125" t="s">
        <v>3</v>
      </c>
    </row>
    <row r="9" spans="1:11" s="330" customFormat="1" ht="12.75" customHeight="1" x14ac:dyDescent="0.25">
      <c r="A9" s="408" t="s">
        <v>497</v>
      </c>
      <c r="B9" s="409">
        <v>45685</v>
      </c>
      <c r="C9" s="410" t="s">
        <v>107</v>
      </c>
      <c r="D9" s="411">
        <v>15796.16</v>
      </c>
      <c r="E9" s="412">
        <f>D9</f>
        <v>15796.16</v>
      </c>
      <c r="F9" s="413"/>
      <c r="G9" s="413"/>
      <c r="H9" s="413">
        <f>E9</f>
        <v>15796.16</v>
      </c>
      <c r="I9" s="414"/>
    </row>
    <row r="10" spans="1:11" s="330" customFormat="1" ht="12.75" customHeight="1" x14ac:dyDescent="0.25">
      <c r="A10" s="408" t="s">
        <v>581</v>
      </c>
      <c r="B10" s="240">
        <v>45737</v>
      </c>
      <c r="C10" s="410" t="s">
        <v>582</v>
      </c>
      <c r="D10" s="412"/>
      <c r="E10" s="412">
        <f t="shared" ref="E10:E21" si="0">E9+D10</f>
        <v>15796.16</v>
      </c>
      <c r="F10" s="445">
        <v>477.56</v>
      </c>
      <c r="G10" s="413">
        <f t="shared" ref="G10:G21" si="1">G9+F10</f>
        <v>477.56</v>
      </c>
      <c r="H10" s="413">
        <f t="shared" ref="H10:H21" si="2">H9-F10+D10</f>
        <v>15318.6</v>
      </c>
      <c r="I10" s="414"/>
    </row>
    <row r="11" spans="1:11" s="330" customFormat="1" ht="12.75" customHeight="1" x14ac:dyDescent="0.25">
      <c r="A11" s="408" t="s">
        <v>756</v>
      </c>
      <c r="B11" s="409">
        <v>45796</v>
      </c>
      <c r="C11" s="410" t="s">
        <v>757</v>
      </c>
      <c r="D11" s="412"/>
      <c r="E11" s="412">
        <f t="shared" si="0"/>
        <v>15796.16</v>
      </c>
      <c r="F11" s="445">
        <v>1912.94</v>
      </c>
      <c r="G11" s="413">
        <f t="shared" si="1"/>
        <v>2390.5</v>
      </c>
      <c r="H11" s="413">
        <f t="shared" si="2"/>
        <v>13405.66</v>
      </c>
      <c r="I11" s="414"/>
    </row>
    <row r="12" spans="1:11" s="330" customFormat="1" ht="12.75" customHeight="1" x14ac:dyDescent="0.25">
      <c r="A12" s="415" t="s">
        <v>966</v>
      </c>
      <c r="B12" s="480">
        <v>45855</v>
      </c>
      <c r="C12" s="417" t="s">
        <v>967</v>
      </c>
      <c r="D12" s="418"/>
      <c r="E12" s="418">
        <f t="shared" si="0"/>
        <v>15796.16</v>
      </c>
      <c r="F12" s="419">
        <v>224.36</v>
      </c>
      <c r="G12" s="420">
        <f t="shared" si="1"/>
        <v>2614.86</v>
      </c>
      <c r="H12" s="420">
        <f t="shared" si="2"/>
        <v>13181.3</v>
      </c>
      <c r="I12" s="421" t="s">
        <v>1015</v>
      </c>
    </row>
    <row r="13" spans="1:11" s="330" customFormat="1" ht="12.75" customHeight="1" x14ac:dyDescent="0.25">
      <c r="A13" s="408" t="s">
        <v>1038</v>
      </c>
      <c r="B13" s="240">
        <v>45890</v>
      </c>
      <c r="C13" s="410" t="s">
        <v>1017</v>
      </c>
      <c r="D13" s="494">
        <v>0</v>
      </c>
      <c r="E13" s="412">
        <f t="shared" si="0"/>
        <v>15796.16</v>
      </c>
      <c r="F13" s="422"/>
      <c r="G13" s="413">
        <f t="shared" si="1"/>
        <v>2614.86</v>
      </c>
      <c r="H13" s="413">
        <f t="shared" si="2"/>
        <v>13181.3</v>
      </c>
      <c r="I13" s="414"/>
    </row>
    <row r="14" spans="1:11" s="330" customFormat="1" ht="12.75" customHeight="1" x14ac:dyDescent="0.25">
      <c r="A14" s="408" t="s">
        <v>1276</v>
      </c>
      <c r="B14" s="409">
        <v>45947</v>
      </c>
      <c r="C14" s="410" t="s">
        <v>1277</v>
      </c>
      <c r="D14" s="412"/>
      <c r="E14" s="412">
        <f t="shared" si="0"/>
        <v>15796.16</v>
      </c>
      <c r="F14" s="445">
        <v>2379.71</v>
      </c>
      <c r="G14" s="413">
        <f t="shared" si="1"/>
        <v>4994.57</v>
      </c>
      <c r="H14" s="413">
        <f t="shared" si="2"/>
        <v>10801.59</v>
      </c>
      <c r="I14" s="414"/>
      <c r="K14" s="410"/>
    </row>
    <row r="15" spans="1:11" s="330" customFormat="1" ht="12.75" customHeight="1" x14ac:dyDescent="0.25">
      <c r="A15" s="408" t="s">
        <v>1357</v>
      </c>
      <c r="B15" s="409">
        <v>45979</v>
      </c>
      <c r="C15" s="410" t="s">
        <v>1358</v>
      </c>
      <c r="D15" s="412"/>
      <c r="E15" s="412">
        <f t="shared" si="0"/>
        <v>15796.16</v>
      </c>
      <c r="F15" s="445">
        <v>1939.67</v>
      </c>
      <c r="G15" s="413">
        <f t="shared" si="1"/>
        <v>6934.24</v>
      </c>
      <c r="H15" s="413">
        <f t="shared" si="2"/>
        <v>8861.92</v>
      </c>
      <c r="I15" s="414"/>
    </row>
    <row r="16" spans="1:11" s="330" customFormat="1" ht="12.75" customHeight="1" x14ac:dyDescent="0.25">
      <c r="A16" s="408" t="s">
        <v>1414</v>
      </c>
      <c r="B16" s="409">
        <v>46007</v>
      </c>
      <c r="C16" s="410" t="s">
        <v>1415</v>
      </c>
      <c r="D16" s="412"/>
      <c r="E16" s="412">
        <f t="shared" si="0"/>
        <v>15796.16</v>
      </c>
      <c r="F16" s="445">
        <v>3267.31</v>
      </c>
      <c r="G16" s="413">
        <f t="shared" si="1"/>
        <v>10201.549999999999</v>
      </c>
      <c r="H16" s="413">
        <f t="shared" si="2"/>
        <v>5594.6100000000006</v>
      </c>
      <c r="I16" s="414"/>
    </row>
    <row r="17" spans="1:9" s="330" customFormat="1" ht="12.75" customHeight="1" x14ac:dyDescent="0.25">
      <c r="A17" s="408" t="s">
        <v>1500</v>
      </c>
      <c r="B17" s="409">
        <v>46042</v>
      </c>
      <c r="C17" s="410" t="s">
        <v>1501</v>
      </c>
      <c r="D17" s="412"/>
      <c r="E17" s="412">
        <f t="shared" si="0"/>
        <v>15796.16</v>
      </c>
      <c r="F17" s="445">
        <v>4009.67</v>
      </c>
      <c r="G17" s="413">
        <f t="shared" si="1"/>
        <v>14211.22</v>
      </c>
      <c r="H17" s="413">
        <f t="shared" si="2"/>
        <v>1584.9400000000005</v>
      </c>
      <c r="I17" s="414"/>
    </row>
    <row r="18" spans="1:9" s="330" customFormat="1" ht="12.75" customHeight="1" x14ac:dyDescent="0.25">
      <c r="A18" s="408" t="s">
        <v>1038</v>
      </c>
      <c r="B18" s="409">
        <v>46058</v>
      </c>
      <c r="C18" s="410" t="s">
        <v>301</v>
      </c>
      <c r="D18" s="494">
        <v>4898.08</v>
      </c>
      <c r="E18" s="412">
        <f t="shared" si="0"/>
        <v>20694.239999999998</v>
      </c>
      <c r="F18" s="422"/>
      <c r="G18" s="413">
        <f t="shared" si="1"/>
        <v>14211.22</v>
      </c>
      <c r="H18" s="413">
        <f t="shared" si="2"/>
        <v>6483.02</v>
      </c>
      <c r="I18" s="414"/>
    </row>
    <row r="19" spans="1:9" s="330" customFormat="1" ht="12.75" customHeight="1" x14ac:dyDescent="0.25">
      <c r="A19" s="408" t="s">
        <v>1698</v>
      </c>
      <c r="B19" s="409">
        <v>46099</v>
      </c>
      <c r="C19" s="410" t="s">
        <v>1699</v>
      </c>
      <c r="D19" s="412"/>
      <c r="E19" s="412">
        <f t="shared" si="0"/>
        <v>20694.239999999998</v>
      </c>
      <c r="F19" s="445">
        <v>4670.3100000000004</v>
      </c>
      <c r="G19" s="413">
        <f t="shared" si="1"/>
        <v>18881.53</v>
      </c>
      <c r="H19" s="413">
        <f t="shared" si="2"/>
        <v>1812.71</v>
      </c>
      <c r="I19" s="414"/>
    </row>
    <row r="20" spans="1:9" s="330" customFormat="1" ht="12.75" customHeight="1" x14ac:dyDescent="0.25">
      <c r="A20" s="408"/>
      <c r="B20" s="409"/>
      <c r="C20" s="410"/>
      <c r="D20" s="412"/>
      <c r="E20" s="412">
        <f t="shared" si="0"/>
        <v>20694.239999999998</v>
      </c>
      <c r="F20" s="413"/>
      <c r="G20" s="413">
        <f t="shared" si="1"/>
        <v>18881.53</v>
      </c>
      <c r="H20" s="413">
        <f t="shared" si="2"/>
        <v>1812.71</v>
      </c>
      <c r="I20" s="414"/>
    </row>
    <row r="21" spans="1:9" s="330" customFormat="1" ht="12.75" customHeight="1" x14ac:dyDescent="0.25">
      <c r="A21" s="408"/>
      <c r="B21" s="409"/>
      <c r="C21" s="423"/>
      <c r="D21" s="412"/>
      <c r="E21" s="412">
        <f t="shared" si="0"/>
        <v>20694.239999999998</v>
      </c>
      <c r="F21" s="413"/>
      <c r="G21" s="413">
        <f t="shared" si="1"/>
        <v>18881.53</v>
      </c>
      <c r="H21" s="413">
        <f t="shared" si="2"/>
        <v>1812.71</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20694.239999999998</v>
      </c>
      <c r="E23" s="426"/>
      <c r="F23" s="426">
        <f>SUM(F9:F22)</f>
        <v>18881.53</v>
      </c>
      <c r="G23" s="426"/>
      <c r="H23" s="426">
        <f>D23-F23</f>
        <v>1812.7099999999991</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192</v>
      </c>
      <c r="D26" s="413">
        <v>15707.66</v>
      </c>
      <c r="E26" s="413"/>
      <c r="F26" s="413">
        <f>477.56+1912.94+224.36+2379.71+1939.67+3267.31+4009.67+1496.44</f>
        <v>15707.66</v>
      </c>
      <c r="G26" s="413"/>
      <c r="H26" s="413">
        <f>D26-F26</f>
        <v>0</v>
      </c>
      <c r="I26" s="414"/>
    </row>
    <row r="27" spans="1:9" s="330" customFormat="1" ht="12.75" customHeight="1" x14ac:dyDescent="0.25">
      <c r="A27" s="408"/>
      <c r="B27" s="410"/>
      <c r="C27" s="425" t="s">
        <v>156</v>
      </c>
      <c r="D27" s="413">
        <v>88.5</v>
      </c>
      <c r="E27" s="413"/>
      <c r="F27" s="413"/>
      <c r="G27" s="413"/>
      <c r="H27" s="413">
        <f>D27-F27</f>
        <v>88.5</v>
      </c>
      <c r="I27" s="414"/>
    </row>
    <row r="28" spans="1:9" s="330" customFormat="1" ht="12.75" customHeight="1" x14ac:dyDescent="0.25">
      <c r="A28" s="408"/>
      <c r="B28" s="410"/>
      <c r="C28" s="425" t="s">
        <v>301</v>
      </c>
      <c r="D28" s="413">
        <v>4898.08</v>
      </c>
      <c r="E28" s="413"/>
      <c r="F28" s="413">
        <f>3173.87</f>
        <v>3173.87</v>
      </c>
      <c r="G28" s="413"/>
      <c r="H28" s="413">
        <f>D28-F28</f>
        <v>1724.21</v>
      </c>
      <c r="I28" s="414"/>
    </row>
    <row r="29" spans="1:9" s="330" customFormat="1" ht="12.75" customHeight="1" thickBot="1" x14ac:dyDescent="0.3">
      <c r="A29" s="408"/>
      <c r="B29" s="410"/>
      <c r="C29" s="424" t="s">
        <v>555</v>
      </c>
      <c r="D29" s="426">
        <f>SUM(D26:D28)</f>
        <v>20694.239999999998</v>
      </c>
      <c r="E29" s="427"/>
      <c r="F29" s="426">
        <f>SUM(F26:F28)</f>
        <v>18881.53</v>
      </c>
      <c r="G29" s="427"/>
      <c r="H29" s="426">
        <f>SUM(H26:H28)</f>
        <v>1812.71</v>
      </c>
      <c r="I29" s="414"/>
    </row>
    <row r="30" spans="1:9" s="330" customFormat="1" ht="12.75" customHeight="1" thickTop="1" x14ac:dyDescent="0.25"/>
    <row r="31" spans="1:9" s="330" customFormat="1" ht="12.75" customHeight="1" x14ac:dyDescent="0.25"/>
    <row r="32" spans="1:9"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8">
    <tabColor rgb="FF0070C0"/>
    <pageSetUpPr fitToPage="1"/>
  </sheetPr>
  <dimension ref="A1:G17"/>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182</v>
      </c>
      <c r="C1" s="109"/>
      <c r="D1" s="179"/>
      <c r="E1" s="179"/>
      <c r="F1" s="179"/>
      <c r="G1" s="179"/>
    </row>
    <row r="2" spans="1:7" ht="15.75" x14ac:dyDescent="0.25">
      <c r="A2" s="212"/>
      <c r="B2" s="126" t="s">
        <v>184</v>
      </c>
      <c r="C2" s="182"/>
      <c r="D2" s="179"/>
      <c r="E2" s="179"/>
      <c r="F2" s="179"/>
      <c r="G2" s="179"/>
    </row>
    <row r="3" spans="1:7" ht="15.75" x14ac:dyDescent="0.25">
      <c r="A3" s="212"/>
      <c r="B3" s="183" t="s">
        <v>185</v>
      </c>
      <c r="C3" s="182"/>
      <c r="D3" s="179"/>
      <c r="E3" s="184" t="s">
        <v>71</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186</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'#9294.00 Funds Recv''d '!H24</f>
        <v>12790.78</v>
      </c>
      <c r="D8" s="258"/>
      <c r="E8" s="258"/>
      <c r="F8" s="258"/>
      <c r="G8" s="259"/>
    </row>
    <row r="9" spans="1:7" s="330" customFormat="1" ht="12.75" customHeight="1" x14ac:dyDescent="0.25">
      <c r="A9" s="478"/>
      <c r="B9" s="550"/>
      <c r="C9" s="551"/>
      <c r="D9" s="552"/>
      <c r="E9" s="552"/>
      <c r="F9" s="552"/>
      <c r="G9" s="553"/>
    </row>
    <row r="10" spans="1:7" s="330" customFormat="1" ht="12.75" customHeight="1" x14ac:dyDescent="0.25">
      <c r="A10" s="478" t="s">
        <v>170</v>
      </c>
      <c r="B10" s="550" t="s">
        <v>275</v>
      </c>
      <c r="C10" s="551"/>
      <c r="D10" s="554">
        <f>'#9294.00 Van Maanen'!D23</f>
        <v>12362.4</v>
      </c>
      <c r="E10" s="554">
        <f>'#9294.00 Van Maanen'!F23</f>
        <v>12362.400000000001</v>
      </c>
      <c r="F10" s="554">
        <f>'#9294.00 Van Maanen'!H23</f>
        <v>0</v>
      </c>
      <c r="G10" s="553"/>
    </row>
    <row r="11" spans="1:7" s="330" customFormat="1" ht="12.75" customHeight="1" x14ac:dyDescent="0.25">
      <c r="A11" s="478" t="s">
        <v>170</v>
      </c>
      <c r="B11" s="550" t="s">
        <v>41</v>
      </c>
      <c r="C11" s="551"/>
      <c r="D11" s="554">
        <f>'#9294.00 PM TIME '!E23</f>
        <v>428.38</v>
      </c>
      <c r="E11" s="554">
        <f>'#9294.00 PM TIME '!G23</f>
        <v>428.37999999999994</v>
      </c>
      <c r="F11" s="554">
        <f>'#9294.00 PM TIME '!I23</f>
        <v>0</v>
      </c>
      <c r="G11" s="553"/>
    </row>
    <row r="12" spans="1:7" s="330" customFormat="1" ht="12.75" customHeight="1" x14ac:dyDescent="0.25">
      <c r="A12" s="478" t="s">
        <v>170</v>
      </c>
      <c r="B12" s="550" t="s">
        <v>42</v>
      </c>
      <c r="C12" s="552"/>
      <c r="D12" s="555">
        <f>'#9294.00 Misc'!G22</f>
        <v>0</v>
      </c>
      <c r="E12" s="555">
        <f>'#9294.00 Misc'!G22</f>
        <v>0</v>
      </c>
      <c r="F12" s="554">
        <f>D12-E12</f>
        <v>0</v>
      </c>
      <c r="G12" s="553"/>
    </row>
    <row r="13" spans="1:7" s="330" customFormat="1" ht="12.75" customHeight="1" x14ac:dyDescent="0.25">
      <c r="A13" s="478"/>
      <c r="B13" s="550"/>
      <c r="C13" s="552"/>
      <c r="D13" s="555"/>
      <c r="E13" s="555"/>
      <c r="F13" s="554"/>
      <c r="G13" s="553"/>
    </row>
    <row r="14" spans="1:7" ht="24" customHeight="1" thickBot="1" x14ac:dyDescent="0.3">
      <c r="A14" s="263"/>
      <c r="B14" s="264" t="s">
        <v>43</v>
      </c>
      <c r="C14" s="265">
        <f>SUM(C8:C13)</f>
        <v>12790.78</v>
      </c>
      <c r="D14" s="265">
        <f>SUM(D8:D13)</f>
        <v>12790.779999999999</v>
      </c>
      <c r="E14" s="265">
        <f>SUM(E8:E13)</f>
        <v>12790.78</v>
      </c>
      <c r="F14" s="379">
        <f>SUM(D14-E14)</f>
        <v>-1.8189894035458565E-12</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971</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26"/>
  <sheetViews>
    <sheetView tabSelected="1" zoomScaleNormal="100" workbookViewId="0">
      <selection activeCell="C38" sqref="C38"/>
    </sheetView>
  </sheetViews>
  <sheetFormatPr defaultColWidth="11.42578125" defaultRowHeight="15" customHeight="1" x14ac:dyDescent="0.25"/>
  <cols>
    <col min="1" max="1" width="17.5703125" customWidth="1"/>
    <col min="2" max="2" width="11" customWidth="1"/>
    <col min="3" max="3" width="8.5703125" customWidth="1"/>
    <col min="4" max="4" width="11.42578125" customWidth="1"/>
    <col min="5" max="5" width="29.85546875" customWidth="1"/>
    <col min="6" max="6" width="17.140625" customWidth="1"/>
    <col min="7" max="7" width="12.42578125" customWidth="1"/>
    <col min="8" max="8" width="15.42578125" customWidth="1"/>
  </cols>
  <sheetData>
    <row r="1" spans="1:8" ht="15.75" x14ac:dyDescent="0.25">
      <c r="A1" s="78" t="str">
        <f>'RECAP #9239.02'!B1</f>
        <v>DOC-NCF-IPI Homes or Iowa Facility Project Phase II(Warehouse)</v>
      </c>
      <c r="B1" s="79"/>
      <c r="C1" s="79"/>
      <c r="D1" s="79"/>
      <c r="E1" s="6"/>
      <c r="F1" s="6"/>
      <c r="G1" s="6"/>
      <c r="H1" s="124"/>
    </row>
    <row r="2" spans="1:8" ht="15.75" x14ac:dyDescent="0.25">
      <c r="A2" s="81" t="str">
        <f>'RECAP #9239.02'!B2</f>
        <v>Project # 9239.02</v>
      </c>
      <c r="B2" s="80"/>
      <c r="C2" s="80"/>
      <c r="D2" s="80"/>
      <c r="E2" s="6"/>
      <c r="F2" s="6"/>
      <c r="G2" s="6"/>
      <c r="H2" s="124"/>
    </row>
    <row r="3" spans="1:8" ht="15.75" x14ac:dyDescent="0.25">
      <c r="A3" s="82" t="str">
        <f>'RECAP #9239.02'!B3</f>
        <v>Program code 923902</v>
      </c>
      <c r="B3" s="80"/>
      <c r="C3" s="80"/>
      <c r="D3" s="80"/>
      <c r="E3" s="83" t="str">
        <f>'RECAP #9239.02'!E3</f>
        <v>Major Program 4B01</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#9239.02'!B6</f>
        <v>Project Manager - Brad T.</v>
      </c>
      <c r="B6" s="86"/>
      <c r="C6" s="86"/>
      <c r="D6" s="86"/>
      <c r="E6" s="83" t="s">
        <v>524</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23" t="s">
        <v>1238</v>
      </c>
      <c r="B9" s="409">
        <v>45938</v>
      </c>
      <c r="C9" s="455" t="s">
        <v>321</v>
      </c>
      <c r="D9" s="455" t="s">
        <v>322</v>
      </c>
      <c r="E9" s="459" t="s">
        <v>456</v>
      </c>
      <c r="F9" s="462" t="s">
        <v>1237</v>
      </c>
      <c r="G9" s="445">
        <v>1708.31</v>
      </c>
      <c r="H9" s="461">
        <f>G9</f>
        <v>1708.31</v>
      </c>
    </row>
    <row r="10" spans="1:8" s="330" customFormat="1" ht="12.75" customHeight="1" x14ac:dyDescent="0.25">
      <c r="A10" s="456" t="s">
        <v>1342</v>
      </c>
      <c r="B10" s="409">
        <v>45975</v>
      </c>
      <c r="C10" s="455" t="s">
        <v>321</v>
      </c>
      <c r="D10" s="455" t="s">
        <v>322</v>
      </c>
      <c r="E10" s="459" t="s">
        <v>456</v>
      </c>
      <c r="F10" s="381" t="s">
        <v>1341</v>
      </c>
      <c r="G10" s="445">
        <v>2317.31</v>
      </c>
      <c r="H10" s="461">
        <f>H9+G10</f>
        <v>4025.62</v>
      </c>
    </row>
    <row r="11" spans="1:8" s="330" customFormat="1" ht="12.75" customHeight="1" x14ac:dyDescent="0.25">
      <c r="A11" s="456" t="s">
        <v>1347</v>
      </c>
      <c r="B11" s="409">
        <v>45975</v>
      </c>
      <c r="C11" s="455" t="s">
        <v>321</v>
      </c>
      <c r="D11" s="455" t="s">
        <v>322</v>
      </c>
      <c r="E11" s="459" t="s">
        <v>947</v>
      </c>
      <c r="F11" s="381" t="s">
        <v>1346</v>
      </c>
      <c r="G11" s="445">
        <v>6063</v>
      </c>
      <c r="H11" s="461">
        <f t="shared" ref="H11:H20" si="0">H10+G11</f>
        <v>10088.619999999999</v>
      </c>
    </row>
    <row r="12" spans="1:8" s="330" customFormat="1" ht="12.75" customHeight="1" x14ac:dyDescent="0.25">
      <c r="A12" s="455" t="s">
        <v>3</v>
      </c>
      <c r="B12" s="409" t="s">
        <v>3</v>
      </c>
      <c r="C12" s="409"/>
      <c r="D12" s="409"/>
      <c r="E12" s="459" t="s">
        <v>3</v>
      </c>
      <c r="F12" s="463"/>
      <c r="G12" s="461"/>
      <c r="H12" s="461">
        <f t="shared" si="0"/>
        <v>10088.619999999999</v>
      </c>
    </row>
    <row r="13" spans="1:8" s="330" customFormat="1" ht="12.75" customHeight="1" x14ac:dyDescent="0.25">
      <c r="A13" s="455" t="s">
        <v>3</v>
      </c>
      <c r="B13" s="409" t="s">
        <v>3</v>
      </c>
      <c r="C13" s="409"/>
      <c r="D13" s="409"/>
      <c r="E13" s="459" t="s">
        <v>3</v>
      </c>
      <c r="F13" s="463"/>
      <c r="G13" s="461"/>
      <c r="H13" s="461">
        <f t="shared" si="0"/>
        <v>10088.619999999999</v>
      </c>
    </row>
    <row r="14" spans="1:8" s="330" customFormat="1" ht="12.75" customHeight="1" x14ac:dyDescent="0.25">
      <c r="A14" s="455"/>
      <c r="B14" s="409"/>
      <c r="C14" s="409"/>
      <c r="D14" s="409"/>
      <c r="E14" s="459"/>
      <c r="F14" s="463"/>
      <c r="G14" s="461"/>
      <c r="H14" s="461">
        <f t="shared" si="0"/>
        <v>10088.619999999999</v>
      </c>
    </row>
    <row r="15" spans="1:8" s="330" customFormat="1" ht="12.75" customHeight="1" x14ac:dyDescent="0.25">
      <c r="A15" s="455"/>
      <c r="B15" s="409"/>
      <c r="C15" s="409"/>
      <c r="D15" s="409"/>
      <c r="E15" s="464"/>
      <c r="F15" s="463"/>
      <c r="G15" s="461"/>
      <c r="H15" s="461">
        <f t="shared" si="0"/>
        <v>10088.619999999999</v>
      </c>
    </row>
    <row r="16" spans="1:8" s="330" customFormat="1" ht="12.75" customHeight="1" x14ac:dyDescent="0.25">
      <c r="A16" s="455"/>
      <c r="B16" s="409"/>
      <c r="C16" s="409"/>
      <c r="D16" s="409"/>
      <c r="E16" s="459"/>
      <c r="F16" s="463"/>
      <c r="G16" s="461"/>
      <c r="H16" s="461">
        <f t="shared" si="0"/>
        <v>10088.619999999999</v>
      </c>
    </row>
    <row r="17" spans="1:8" s="330" customFormat="1" ht="12.75" customHeight="1" x14ac:dyDescent="0.25">
      <c r="A17" s="408"/>
      <c r="B17" s="409"/>
      <c r="C17" s="409"/>
      <c r="D17" s="409"/>
      <c r="E17" s="459"/>
      <c r="F17" s="463"/>
      <c r="G17" s="461"/>
      <c r="H17" s="461">
        <f t="shared" si="0"/>
        <v>10088.619999999999</v>
      </c>
    </row>
    <row r="18" spans="1:8" s="330" customFormat="1" ht="12.75" customHeight="1" x14ac:dyDescent="0.25">
      <c r="A18" s="408"/>
      <c r="B18" s="409"/>
      <c r="C18" s="409"/>
      <c r="D18" s="409"/>
      <c r="E18" s="459"/>
      <c r="F18" s="463"/>
      <c r="G18" s="461"/>
      <c r="H18" s="461">
        <f t="shared" si="0"/>
        <v>10088.619999999999</v>
      </c>
    </row>
    <row r="19" spans="1:8" s="330" customFormat="1" ht="12.75" customHeight="1" x14ac:dyDescent="0.25">
      <c r="A19" s="408"/>
      <c r="B19" s="409"/>
      <c r="C19" s="409"/>
      <c r="D19" s="409"/>
      <c r="E19" s="459"/>
      <c r="F19" s="463"/>
      <c r="G19" s="461"/>
      <c r="H19" s="461">
        <f t="shared" si="0"/>
        <v>10088.619999999999</v>
      </c>
    </row>
    <row r="20" spans="1:8" s="330" customFormat="1" ht="12.75" customHeight="1" x14ac:dyDescent="0.25">
      <c r="A20" s="408"/>
      <c r="B20" s="409"/>
      <c r="C20" s="409"/>
      <c r="D20" s="409"/>
      <c r="E20" s="459"/>
      <c r="F20" s="463"/>
      <c r="G20" s="461"/>
      <c r="H20" s="461">
        <f t="shared" si="0"/>
        <v>10088.619999999999</v>
      </c>
    </row>
    <row r="21" spans="1:8" s="330" customFormat="1" ht="12.75" customHeight="1" x14ac:dyDescent="0.25">
      <c r="A21" s="408"/>
      <c r="B21" s="425"/>
      <c r="C21" s="425"/>
      <c r="D21" s="425"/>
      <c r="E21" s="459"/>
      <c r="F21" s="461"/>
      <c r="G21" s="459"/>
      <c r="H21" s="461"/>
    </row>
    <row r="22" spans="1:8" s="330" customFormat="1" ht="12.75" customHeight="1" thickBot="1" x14ac:dyDescent="0.3">
      <c r="A22" s="465"/>
      <c r="B22" s="424"/>
      <c r="C22" s="424"/>
      <c r="D22" s="424"/>
      <c r="E22" s="466" t="s">
        <v>54</v>
      </c>
      <c r="F22" s="467"/>
      <c r="G22" s="426">
        <f>SUM(G9:G21)</f>
        <v>10088.619999999999</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sheetData>
  <pageMargins left="0.25" right="0.25" top="0.85" bottom="0.75" header="0.08" footer="0.3"/>
  <pageSetup scale="8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9">
    <tabColor rgb="FF0070C0"/>
    <pageSetUpPr fitToPage="1"/>
  </sheetPr>
  <dimension ref="A1:H124"/>
  <sheetViews>
    <sheetView tabSelected="1" zoomScaleNormal="100" workbookViewId="0">
      <selection activeCell="C38" sqref="C38"/>
    </sheetView>
  </sheetViews>
  <sheetFormatPr defaultColWidth="9.140625" defaultRowHeight="15" customHeight="1" x14ac:dyDescent="0.25"/>
  <cols>
    <col min="1" max="1" width="15.5703125" customWidth="1"/>
    <col min="2" max="2" width="20.5703125" customWidth="1"/>
    <col min="3" max="3" width="12.42578125" bestFit="1" customWidth="1"/>
    <col min="4" max="4" width="30.85546875" customWidth="1"/>
    <col min="5" max="5" width="25.42578125" customWidth="1"/>
    <col min="6" max="6" width="10.42578125" bestFit="1" customWidth="1"/>
    <col min="7" max="8" width="12.42578125" bestFit="1" customWidth="1"/>
    <col min="9" max="11" width="9.140625" customWidth="1"/>
  </cols>
  <sheetData>
    <row r="1" spans="1:8" x14ac:dyDescent="0.25">
      <c r="A1" s="267" t="str">
        <f>'RECAP #9294.00'!B1</f>
        <v>DHS WRC Fire Alarm System Replacement Phase 1</v>
      </c>
      <c r="B1" s="268"/>
      <c r="C1" s="269"/>
      <c r="D1" s="270"/>
      <c r="E1" s="270"/>
      <c r="F1" s="268"/>
      <c r="G1" s="268"/>
      <c r="H1" s="268"/>
    </row>
    <row r="2" spans="1:8" x14ac:dyDescent="0.25">
      <c r="A2" s="271" t="str">
        <f>'RECAP #9294.00'!B2</f>
        <v>Project # 9294.00</v>
      </c>
      <c r="B2" s="268"/>
      <c r="C2" s="272" t="s">
        <v>3</v>
      </c>
      <c r="D2" s="273"/>
      <c r="E2" s="273"/>
      <c r="F2" s="268"/>
      <c r="G2" s="268"/>
      <c r="H2" s="268"/>
    </row>
    <row r="3" spans="1:8" x14ac:dyDescent="0.25">
      <c r="A3" s="274" t="str">
        <f>'RECAP #9294.00'!B3</f>
        <v>Program code 929400</v>
      </c>
      <c r="B3" s="268"/>
      <c r="C3" s="272" t="s">
        <v>3</v>
      </c>
      <c r="D3" s="275" t="str">
        <f>'RECAP #9294.00'!E3</f>
        <v>Major Program 4B02</v>
      </c>
      <c r="E3" s="270"/>
      <c r="F3" s="268"/>
      <c r="G3" s="268"/>
      <c r="H3" s="268"/>
    </row>
    <row r="4" spans="1:8" ht="15.75" x14ac:dyDescent="0.25">
      <c r="A4" s="109" t="s">
        <v>44</v>
      </c>
      <c r="B4" s="276" t="s">
        <v>3</v>
      </c>
      <c r="C4" s="270"/>
      <c r="D4" s="270"/>
      <c r="E4" s="270"/>
      <c r="F4" s="268"/>
      <c r="G4" s="268"/>
      <c r="H4" s="268"/>
    </row>
    <row r="5" spans="1:8" x14ac:dyDescent="0.25">
      <c r="A5" s="263" t="s">
        <v>65</v>
      </c>
      <c r="B5" s="277"/>
      <c r="C5" s="278"/>
      <c r="D5" s="279"/>
      <c r="E5" s="268"/>
      <c r="F5" s="268"/>
      <c r="G5" s="268"/>
      <c r="H5" s="268"/>
    </row>
    <row r="6" spans="1:8" x14ac:dyDescent="0.25">
      <c r="A6" s="280" t="str">
        <f>'RECAP #9294.00'!B6</f>
        <v>Project Manager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s="330" customFormat="1" ht="12.75" customHeight="1" x14ac:dyDescent="0.25">
      <c r="A9" s="351"/>
      <c r="B9" s="352"/>
      <c r="C9" s="353"/>
      <c r="D9" s="354" t="s">
        <v>73</v>
      </c>
      <c r="E9" s="354" t="s">
        <v>257</v>
      </c>
      <c r="F9" s="355">
        <v>45561</v>
      </c>
      <c r="G9" s="356">
        <v>20000</v>
      </c>
      <c r="H9" s="356">
        <v>20000</v>
      </c>
    </row>
    <row r="10" spans="1:8" s="330" customFormat="1" ht="12.75" customHeight="1" x14ac:dyDescent="0.25">
      <c r="A10" s="351"/>
      <c r="B10" s="351"/>
      <c r="C10" s="357"/>
      <c r="D10" s="354" t="s">
        <v>753</v>
      </c>
      <c r="E10" s="351" t="s">
        <v>974</v>
      </c>
      <c r="F10" s="351">
        <v>45793</v>
      </c>
      <c r="G10" s="358">
        <v>-6500</v>
      </c>
      <c r="H10" s="358">
        <v>-6500</v>
      </c>
    </row>
    <row r="11" spans="1:8" s="330" customFormat="1" ht="12.75" customHeight="1" x14ac:dyDescent="0.25">
      <c r="A11" s="359"/>
      <c r="B11" s="357"/>
      <c r="C11" s="360"/>
      <c r="D11" s="354" t="s">
        <v>972</v>
      </c>
      <c r="E11" s="351" t="s">
        <v>973</v>
      </c>
      <c r="F11" s="351">
        <v>45859</v>
      </c>
      <c r="G11" s="358">
        <v>-709.22</v>
      </c>
      <c r="H11" s="358">
        <v>-709.22</v>
      </c>
    </row>
    <row r="12" spans="1:8" s="330" customFormat="1" ht="12.75" customHeight="1" x14ac:dyDescent="0.25">
      <c r="A12" s="359"/>
      <c r="B12" s="357"/>
      <c r="C12" s="364"/>
      <c r="D12" s="354"/>
      <c r="E12" s="361"/>
      <c r="F12" s="351"/>
      <c r="G12" s="362"/>
      <c r="H12" s="556"/>
    </row>
    <row r="13" spans="1:8" s="330" customFormat="1" ht="12.75" customHeight="1" x14ac:dyDescent="0.25">
      <c r="A13" s="365"/>
      <c r="B13" s="366"/>
      <c r="C13" s="364"/>
      <c r="D13" s="354"/>
      <c r="E13" s="361"/>
      <c r="F13" s="351"/>
      <c r="G13" s="367"/>
      <c r="H13" s="556"/>
    </row>
    <row r="14" spans="1:8" s="330" customFormat="1" ht="12.75" customHeight="1" x14ac:dyDescent="0.25">
      <c r="A14" s="359"/>
      <c r="B14" s="368"/>
      <c r="C14" s="364"/>
      <c r="D14" s="357"/>
      <c r="E14" s="368"/>
      <c r="F14" s="351"/>
      <c r="G14" s="362"/>
      <c r="H14" s="556"/>
    </row>
    <row r="15" spans="1:8" s="330" customFormat="1" ht="12.75" customHeight="1" x14ac:dyDescent="0.25">
      <c r="A15" s="359"/>
      <c r="B15" s="368"/>
      <c r="C15" s="369"/>
      <c r="D15" s="370"/>
      <c r="E15" s="366"/>
      <c r="F15" s="371"/>
      <c r="G15" s="372"/>
      <c r="H15" s="372"/>
    </row>
    <row r="16" spans="1:8" s="330" customFormat="1" ht="12.75" customHeight="1" x14ac:dyDescent="0.25">
      <c r="A16" s="359"/>
      <c r="B16" s="368"/>
      <c r="C16" s="369" t="s">
        <v>3</v>
      </c>
      <c r="D16" s="370"/>
      <c r="E16" s="368"/>
      <c r="F16" s="371"/>
      <c r="G16" s="372"/>
      <c r="H16" s="372"/>
    </row>
    <row r="17" spans="1:8" s="330" customFormat="1" ht="12.75" customHeight="1" x14ac:dyDescent="0.25">
      <c r="A17" s="359"/>
      <c r="B17" s="368"/>
      <c r="C17" s="369"/>
      <c r="D17" s="370"/>
      <c r="E17" s="368"/>
      <c r="F17" s="371"/>
      <c r="G17" s="373"/>
      <c r="H17" s="369"/>
    </row>
    <row r="18" spans="1:8" s="330" customFormat="1" ht="12.75" customHeight="1" x14ac:dyDescent="0.25">
      <c r="A18" s="359"/>
      <c r="B18" s="374"/>
      <c r="C18" s="369"/>
      <c r="D18" s="370"/>
      <c r="E18" s="368"/>
      <c r="F18" s="371"/>
      <c r="G18" s="372"/>
      <c r="H18" s="372"/>
    </row>
    <row r="19" spans="1:8" s="330" customFormat="1" ht="12.75" customHeight="1" x14ac:dyDescent="0.25">
      <c r="A19" s="359"/>
      <c r="B19" s="368"/>
      <c r="C19" s="369"/>
      <c r="D19" s="370"/>
      <c r="E19" s="368"/>
      <c r="F19" s="371"/>
      <c r="G19" s="372"/>
      <c r="H19" s="372"/>
    </row>
    <row r="20" spans="1:8" s="330" customFormat="1" ht="12.75" customHeight="1" x14ac:dyDescent="0.25">
      <c r="A20" s="359"/>
      <c r="B20" s="368"/>
      <c r="C20" s="369"/>
      <c r="D20" s="370"/>
      <c r="E20" s="368"/>
      <c r="F20" s="371"/>
      <c r="G20" s="373"/>
      <c r="H20" s="369"/>
    </row>
    <row r="21" spans="1:8" s="330" customFormat="1" ht="12.75" customHeight="1" x14ac:dyDescent="0.25">
      <c r="A21" s="359"/>
      <c r="B21" s="368"/>
      <c r="C21" s="369"/>
      <c r="D21" s="370"/>
      <c r="E21" s="368"/>
      <c r="F21" s="371"/>
      <c r="G21" s="373"/>
      <c r="H21" s="369"/>
    </row>
    <row r="22" spans="1:8" s="330" customFormat="1" ht="12.75" customHeight="1" x14ac:dyDescent="0.25">
      <c r="A22" s="359"/>
      <c r="B22" s="368"/>
      <c r="C22" s="369"/>
      <c r="D22" s="370"/>
      <c r="E22" s="368"/>
      <c r="F22" s="359"/>
      <c r="G22" s="372"/>
      <c r="H22" s="372"/>
    </row>
    <row r="23" spans="1:8" s="330" customFormat="1" ht="12.75" customHeight="1" x14ac:dyDescent="0.25">
      <c r="A23" s="359"/>
      <c r="B23" s="368"/>
      <c r="C23" s="369"/>
      <c r="D23" s="370"/>
      <c r="E23" s="368"/>
      <c r="F23" s="359"/>
      <c r="G23" s="372"/>
      <c r="H23" s="372"/>
    </row>
    <row r="24" spans="1:8" s="330" customFormat="1" ht="12.75" customHeight="1" thickBot="1" x14ac:dyDescent="0.3">
      <c r="A24" s="557"/>
      <c r="B24" s="558" t="s">
        <v>9</v>
      </c>
      <c r="C24" s="559">
        <f>SUM(C9:C23)</f>
        <v>0</v>
      </c>
      <c r="D24" s="560" t="s">
        <v>10</v>
      </c>
      <c r="E24" s="561"/>
      <c r="F24" s="562"/>
      <c r="G24" s="405">
        <f>SUM(G9:G23)</f>
        <v>12790.78</v>
      </c>
      <c r="H24" s="405">
        <f>SUM(H9:H23)</f>
        <v>12790.78</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0">
    <tabColor rgb="FF0070C0"/>
    <pageSetUpPr fitToPage="1"/>
  </sheetPr>
  <dimension ref="A1:I92"/>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85546875" customWidth="1"/>
    <col min="4" max="4" width="14.42578125" customWidth="1"/>
    <col min="5" max="5" width="13.5703125" customWidth="1"/>
    <col min="6" max="6" width="12.42578125" customWidth="1"/>
    <col min="7" max="7" width="10.5703125" customWidth="1"/>
    <col min="8" max="8" width="13.7109375" customWidth="1"/>
    <col min="9" max="9" width="12.140625" customWidth="1"/>
  </cols>
  <sheetData>
    <row r="1" spans="1:9" ht="15.75" x14ac:dyDescent="0.25">
      <c r="A1" s="109" t="str">
        <f>'RECAP #9294.00'!B1</f>
        <v>DHS WRC Fire Alarm System Replacement Phase 1</v>
      </c>
      <c r="B1" s="109"/>
      <c r="C1" s="179"/>
      <c r="D1" s="179"/>
      <c r="E1" s="179"/>
      <c r="F1" s="180"/>
      <c r="G1" s="180"/>
      <c r="H1" s="181"/>
      <c r="I1" s="181"/>
    </row>
    <row r="2" spans="1:9" ht="15.75" x14ac:dyDescent="0.25">
      <c r="A2" s="126" t="str">
        <f>'RECAP #9294.00'!B2</f>
        <v>Project # 9294.00</v>
      </c>
      <c r="B2" s="182"/>
      <c r="C2" s="179"/>
      <c r="D2" s="179"/>
      <c r="E2" s="179"/>
      <c r="F2" s="180"/>
      <c r="G2" s="180"/>
      <c r="H2" s="181"/>
      <c r="I2" s="181"/>
    </row>
    <row r="3" spans="1:9" ht="15.75" x14ac:dyDescent="0.25">
      <c r="A3" s="183" t="str">
        <f>'RECAP #9294.00'!B3</f>
        <v>Program code 929400</v>
      </c>
      <c r="B3" s="182"/>
      <c r="C3" s="179"/>
      <c r="D3" s="184" t="str">
        <f>'RECAP #9294.00'!E3</f>
        <v>Major Program 4B02</v>
      </c>
      <c r="E3" s="179"/>
      <c r="F3" s="180"/>
      <c r="G3" s="180"/>
      <c r="H3" s="181"/>
      <c r="I3" s="181"/>
    </row>
    <row r="4" spans="1:9" ht="15.75" x14ac:dyDescent="0.25">
      <c r="A4" s="109" t="s">
        <v>275</v>
      </c>
      <c r="B4" s="126"/>
      <c r="C4" s="181"/>
      <c r="D4" s="185" t="s">
        <v>276</v>
      </c>
      <c r="E4" s="180"/>
      <c r="F4" s="180"/>
      <c r="G4" s="180"/>
      <c r="H4" s="181"/>
      <c r="I4" s="181"/>
    </row>
    <row r="5" spans="1:9" ht="15.75" x14ac:dyDescent="0.25">
      <c r="A5" s="186" t="s">
        <v>109</v>
      </c>
      <c r="B5" s="181"/>
      <c r="C5" s="187"/>
      <c r="D5" s="132" t="s">
        <v>277</v>
      </c>
      <c r="E5" s="137"/>
      <c r="F5" s="180"/>
      <c r="G5" s="180"/>
      <c r="H5" s="181"/>
      <c r="I5" s="181"/>
    </row>
    <row r="6" spans="1:9" ht="15.75" x14ac:dyDescent="0.25">
      <c r="A6" s="126" t="str">
        <f>'RECAP #9294.00'!B6</f>
        <v>Project Manager -Jennifer K.</v>
      </c>
      <c r="B6" s="126"/>
      <c r="C6" s="188"/>
      <c r="D6" s="189" t="s">
        <v>112</v>
      </c>
      <c r="E6" s="137"/>
      <c r="F6" s="138"/>
      <c r="G6" s="180"/>
      <c r="H6" s="181"/>
      <c r="I6" s="181"/>
    </row>
    <row r="7" spans="1:9" ht="15.75" x14ac:dyDescent="0.25">
      <c r="A7" s="181"/>
      <c r="B7" s="190"/>
      <c r="C7" s="190"/>
      <c r="D7" s="181" t="s">
        <v>278</v>
      </c>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335" t="s">
        <v>261</v>
      </c>
    </row>
    <row r="9" spans="1:9" s="330" customFormat="1" ht="12.75" customHeight="1" x14ac:dyDescent="0.25">
      <c r="A9" s="499" t="s">
        <v>279</v>
      </c>
      <c r="B9" s="500">
        <v>45579</v>
      </c>
      <c r="C9" s="501" t="s">
        <v>280</v>
      </c>
      <c r="D9" s="404">
        <v>12362.4</v>
      </c>
      <c r="E9" s="502">
        <f>D9</f>
        <v>12362.4</v>
      </c>
      <c r="F9" s="503"/>
      <c r="G9" s="503"/>
      <c r="H9" s="503">
        <f>E9</f>
        <v>12362.4</v>
      </c>
      <c r="I9" s="504"/>
    </row>
    <row r="10" spans="1:9" s="330" customFormat="1" ht="12.75" customHeight="1" x14ac:dyDescent="0.25">
      <c r="A10" s="499" t="s">
        <v>279</v>
      </c>
      <c r="B10" s="500">
        <v>45645</v>
      </c>
      <c r="C10" s="501" t="s">
        <v>362</v>
      </c>
      <c r="D10" s="404">
        <v>0</v>
      </c>
      <c r="E10" s="502">
        <f t="shared" ref="E10:E21" si="0">E9+D10</f>
        <v>12362.4</v>
      </c>
      <c r="F10" s="406"/>
      <c r="G10" s="503">
        <f t="shared" ref="G10:G21" si="1">G9+F10</f>
        <v>0</v>
      </c>
      <c r="H10" s="503">
        <f t="shared" ref="H10:H21" si="2">H9-F10+D10</f>
        <v>12362.4</v>
      </c>
      <c r="I10" s="504"/>
    </row>
    <row r="11" spans="1:9" s="330" customFormat="1" ht="12.75" customHeight="1" x14ac:dyDescent="0.25">
      <c r="A11" s="499" t="s">
        <v>279</v>
      </c>
      <c r="B11" s="500">
        <v>45705</v>
      </c>
      <c r="C11" s="514" t="s">
        <v>510</v>
      </c>
      <c r="D11" s="404">
        <v>0</v>
      </c>
      <c r="E11" s="502">
        <f t="shared" si="0"/>
        <v>12362.4</v>
      </c>
      <c r="F11" s="406"/>
      <c r="G11" s="503">
        <f t="shared" si="1"/>
        <v>0</v>
      </c>
      <c r="H11" s="503">
        <f t="shared" si="2"/>
        <v>12362.4</v>
      </c>
      <c r="I11" s="504"/>
    </row>
    <row r="12" spans="1:9" s="330" customFormat="1" ht="12.75" customHeight="1" x14ac:dyDescent="0.25">
      <c r="A12" s="499" t="s">
        <v>511</v>
      </c>
      <c r="B12" s="500">
        <v>45705</v>
      </c>
      <c r="C12" s="514" t="s">
        <v>512</v>
      </c>
      <c r="D12" s="502"/>
      <c r="E12" s="502">
        <f t="shared" si="0"/>
        <v>12362.4</v>
      </c>
      <c r="F12" s="406">
        <v>11744.28</v>
      </c>
      <c r="G12" s="503">
        <f t="shared" si="1"/>
        <v>11744.28</v>
      </c>
      <c r="H12" s="503">
        <f t="shared" si="2"/>
        <v>618.11999999999898</v>
      </c>
      <c r="I12" s="406">
        <v>618.12</v>
      </c>
    </row>
    <row r="13" spans="1:9" s="330" customFormat="1" ht="12.75" customHeight="1" x14ac:dyDescent="0.25">
      <c r="A13" s="499" t="s">
        <v>867</v>
      </c>
      <c r="B13" s="500">
        <v>45826</v>
      </c>
      <c r="C13" s="514" t="s">
        <v>866</v>
      </c>
      <c r="D13" s="502"/>
      <c r="E13" s="502">
        <f t="shared" si="0"/>
        <v>12362.4</v>
      </c>
      <c r="F13" s="406">
        <v>0</v>
      </c>
      <c r="G13" s="503">
        <f t="shared" si="1"/>
        <v>11744.28</v>
      </c>
      <c r="H13" s="503">
        <f t="shared" si="2"/>
        <v>618.11999999999898</v>
      </c>
      <c r="I13" s="504"/>
    </row>
    <row r="14" spans="1:9" s="330" customFormat="1" ht="12.75" customHeight="1" x14ac:dyDescent="0.25">
      <c r="A14" s="499" t="s">
        <v>868</v>
      </c>
      <c r="B14" s="500">
        <v>45827</v>
      </c>
      <c r="C14" s="514" t="s">
        <v>869</v>
      </c>
      <c r="D14" s="502"/>
      <c r="E14" s="502">
        <f t="shared" si="0"/>
        <v>12362.4</v>
      </c>
      <c r="F14" s="406">
        <v>618.12</v>
      </c>
      <c r="G14" s="503">
        <f t="shared" si="1"/>
        <v>12362.400000000001</v>
      </c>
      <c r="H14" s="503">
        <f t="shared" si="2"/>
        <v>-1.0231815394945443E-12</v>
      </c>
      <c r="I14" s="504"/>
    </row>
    <row r="15" spans="1:9" s="330" customFormat="1" ht="12.75" customHeight="1" x14ac:dyDescent="0.25">
      <c r="A15" s="499"/>
      <c r="B15" s="500"/>
      <c r="C15" s="501"/>
      <c r="D15" s="502"/>
      <c r="E15" s="502">
        <f t="shared" si="0"/>
        <v>12362.4</v>
      </c>
      <c r="F15" s="406"/>
      <c r="G15" s="503">
        <f t="shared" si="1"/>
        <v>12362.400000000001</v>
      </c>
      <c r="H15" s="503">
        <f t="shared" si="2"/>
        <v>-1.0231815394945443E-12</v>
      </c>
      <c r="I15" s="504"/>
    </row>
    <row r="16" spans="1:9" s="330" customFormat="1" ht="12.75" customHeight="1" x14ac:dyDescent="0.25">
      <c r="A16" s="499"/>
      <c r="B16" s="500"/>
      <c r="C16" s="501"/>
      <c r="D16" s="502"/>
      <c r="E16" s="502">
        <f t="shared" si="0"/>
        <v>12362.4</v>
      </c>
      <c r="F16" s="406"/>
      <c r="G16" s="503">
        <f t="shared" si="1"/>
        <v>12362.400000000001</v>
      </c>
      <c r="H16" s="503">
        <f t="shared" si="2"/>
        <v>-1.0231815394945443E-12</v>
      </c>
      <c r="I16" s="504"/>
    </row>
    <row r="17" spans="1:9" s="330" customFormat="1" ht="12.75" customHeight="1" x14ac:dyDescent="0.25">
      <c r="A17" s="499"/>
      <c r="B17" s="500"/>
      <c r="C17" s="501"/>
      <c r="D17" s="502"/>
      <c r="E17" s="502">
        <f t="shared" si="0"/>
        <v>12362.4</v>
      </c>
      <c r="F17" s="406"/>
      <c r="G17" s="503">
        <f t="shared" si="1"/>
        <v>12362.400000000001</v>
      </c>
      <c r="H17" s="503">
        <f t="shared" si="2"/>
        <v>-1.0231815394945443E-12</v>
      </c>
      <c r="I17" s="504"/>
    </row>
    <row r="18" spans="1:9" s="330" customFormat="1" ht="12.75" customHeight="1" x14ac:dyDescent="0.25">
      <c r="A18" s="499"/>
      <c r="B18" s="500"/>
      <c r="C18" s="501"/>
      <c r="D18" s="502"/>
      <c r="E18" s="502">
        <f t="shared" si="0"/>
        <v>12362.4</v>
      </c>
      <c r="F18" s="406"/>
      <c r="G18" s="503">
        <f t="shared" si="1"/>
        <v>12362.400000000001</v>
      </c>
      <c r="H18" s="503">
        <f t="shared" si="2"/>
        <v>-1.0231815394945443E-12</v>
      </c>
      <c r="I18" s="504"/>
    </row>
    <row r="19" spans="1:9" s="330" customFormat="1" ht="12.75" customHeight="1" x14ac:dyDescent="0.25">
      <c r="A19" s="499"/>
      <c r="B19" s="500"/>
      <c r="C19" s="501"/>
      <c r="D19" s="502"/>
      <c r="E19" s="502">
        <f t="shared" si="0"/>
        <v>12362.4</v>
      </c>
      <c r="F19" s="503"/>
      <c r="G19" s="503">
        <f t="shared" si="1"/>
        <v>12362.400000000001</v>
      </c>
      <c r="H19" s="503">
        <f t="shared" si="2"/>
        <v>-1.0231815394945443E-12</v>
      </c>
      <c r="I19" s="504"/>
    </row>
    <row r="20" spans="1:9" s="330" customFormat="1" ht="12.75" customHeight="1" x14ac:dyDescent="0.25">
      <c r="A20" s="499"/>
      <c r="B20" s="500"/>
      <c r="C20" s="501"/>
      <c r="D20" s="502"/>
      <c r="E20" s="502">
        <f t="shared" si="0"/>
        <v>12362.4</v>
      </c>
      <c r="F20" s="503"/>
      <c r="G20" s="503">
        <f t="shared" si="1"/>
        <v>12362.400000000001</v>
      </c>
      <c r="H20" s="503">
        <f t="shared" si="2"/>
        <v>-1.0231815394945443E-12</v>
      </c>
      <c r="I20" s="504"/>
    </row>
    <row r="21" spans="1:9" s="330" customFormat="1" ht="12.75" customHeight="1" x14ac:dyDescent="0.25">
      <c r="A21" s="499"/>
      <c r="B21" s="500"/>
      <c r="C21" s="514"/>
      <c r="D21" s="502"/>
      <c r="E21" s="502">
        <f t="shared" si="0"/>
        <v>12362.4</v>
      </c>
      <c r="F21" s="503"/>
      <c r="G21" s="503">
        <f t="shared" si="1"/>
        <v>12362.400000000001</v>
      </c>
      <c r="H21" s="503">
        <f t="shared" si="2"/>
        <v>-1.0231815394945443E-12</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12362.4</v>
      </c>
      <c r="E23" s="405"/>
      <c r="F23" s="405">
        <f>SUM(F9:F22)</f>
        <v>12362.400000000001</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281</v>
      </c>
      <c r="D26" s="503">
        <f>'[2]#9294.00 Van Maanen'!$D$28</f>
        <v>770378.71000000008</v>
      </c>
      <c r="E26" s="503"/>
      <c r="F26" s="503">
        <f>'[2]#9294.00 Van Maanen'!$F$28</f>
        <v>770378.71</v>
      </c>
      <c r="G26" s="503"/>
      <c r="H26" s="503">
        <f>'[2]#9294.00 Van Maanen'!$H$28</f>
        <v>0</v>
      </c>
      <c r="I26" s="504"/>
    </row>
    <row r="27" spans="1:9" s="330" customFormat="1" ht="12.75" customHeight="1" thickBot="1" x14ac:dyDescent="0.3">
      <c r="A27" s="499"/>
      <c r="B27" s="501"/>
      <c r="C27" s="518" t="s">
        <v>635</v>
      </c>
      <c r="D27" s="405">
        <f>D23+D26</f>
        <v>782741.1100000001</v>
      </c>
      <c r="E27" s="503"/>
      <c r="F27" s="405">
        <f>F23+F26</f>
        <v>782741.11</v>
      </c>
      <c r="G27" s="503"/>
      <c r="H27" s="405">
        <f>H23+H26</f>
        <v>0</v>
      </c>
      <c r="I27" s="533"/>
    </row>
    <row r="28" spans="1:9" s="330" customFormat="1" ht="12.75" customHeight="1" thickTop="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1">
    <tabColor rgb="FF0070C0"/>
    <pageSetUpPr fitToPage="1"/>
  </sheetPr>
  <dimension ref="A1:J126"/>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5.7109375" customWidth="1"/>
    <col min="5" max="5" width="14.7109375" customWidth="1"/>
    <col min="6" max="6" width="13.5703125" customWidth="1"/>
    <col min="7" max="7" width="12.42578125" customWidth="1"/>
    <col min="8" max="8" width="10.5703125" customWidth="1"/>
    <col min="9" max="9" width="10.5703125" bestFit="1" customWidth="1"/>
  </cols>
  <sheetData>
    <row r="1" spans="1:10" ht="15.75" x14ac:dyDescent="0.25">
      <c r="A1" s="109" t="str">
        <f>'RECAP #9294.00'!B1</f>
        <v>DHS WRC Fire Alarm System Replacement Phase 1</v>
      </c>
      <c r="B1" s="109"/>
      <c r="C1" s="109"/>
      <c r="D1" s="179"/>
      <c r="E1" s="179"/>
      <c r="F1" s="179"/>
      <c r="G1" s="180"/>
      <c r="H1" s="180"/>
      <c r="I1" s="181"/>
      <c r="J1" s="181"/>
    </row>
    <row r="2" spans="1:10" ht="15.75" x14ac:dyDescent="0.25">
      <c r="A2" s="126" t="str">
        <f>'RECAP #9294.00'!B2</f>
        <v>Project # 9294.00</v>
      </c>
      <c r="B2" s="182"/>
      <c r="C2" s="182"/>
      <c r="D2" s="179"/>
      <c r="E2" s="179"/>
      <c r="F2" s="179"/>
      <c r="G2" s="180"/>
      <c r="H2" s="180"/>
      <c r="I2" s="181"/>
      <c r="J2" s="181"/>
    </row>
    <row r="3" spans="1:10" ht="15.75" x14ac:dyDescent="0.25">
      <c r="A3" s="183" t="str">
        <f>'RECAP #9294.00'!B3</f>
        <v>Program code 929400</v>
      </c>
      <c r="B3" s="182"/>
      <c r="C3" s="182"/>
      <c r="D3" s="179"/>
      <c r="E3" s="184" t="str">
        <f>'RECAP #9294.00'!E3</f>
        <v>Major Program 4B02</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#9294.00'!B6</f>
        <v>Project Manager -Jennifer K.</v>
      </c>
      <c r="B6" s="126"/>
      <c r="C6" s="126"/>
      <c r="D6" s="188"/>
      <c r="E6" s="132" t="s">
        <v>187</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30" customFormat="1" ht="12.75" customHeight="1" x14ac:dyDescent="0.25">
      <c r="A9" s="563"/>
      <c r="B9" s="500"/>
      <c r="C9" s="500"/>
      <c r="D9" s="515" t="s">
        <v>92</v>
      </c>
      <c r="E9" s="404">
        <f>1000-571.62</f>
        <v>428.38</v>
      </c>
      <c r="F9" s="502">
        <f>E9</f>
        <v>428.38</v>
      </c>
      <c r="G9" s="503"/>
      <c r="H9" s="503"/>
      <c r="I9" s="503">
        <f>F9</f>
        <v>428.38</v>
      </c>
      <c r="J9" s="504"/>
    </row>
    <row r="10" spans="1:10" s="330" customFormat="1" ht="12.75" customHeight="1" x14ac:dyDescent="0.25">
      <c r="A10" s="564" t="s">
        <v>274</v>
      </c>
      <c r="B10" s="500">
        <v>45574</v>
      </c>
      <c r="C10" s="565">
        <v>2507</v>
      </c>
      <c r="D10" s="515" t="s">
        <v>293</v>
      </c>
      <c r="E10" s="502"/>
      <c r="F10" s="502">
        <f t="shared" ref="F10:F21" si="0">F9+E10</f>
        <v>428.38</v>
      </c>
      <c r="G10" s="406">
        <f>9.31+3.51</f>
        <v>12.82</v>
      </c>
      <c r="H10" s="503">
        <f t="shared" ref="H10:H21" si="1">H9+G10</f>
        <v>12.82</v>
      </c>
      <c r="I10" s="503">
        <f t="shared" ref="I10:I21" si="2">I9-G10+E10</f>
        <v>415.56</v>
      </c>
      <c r="J10" s="504"/>
    </row>
    <row r="11" spans="1:10" s="330" customFormat="1" ht="12.75" customHeight="1" x14ac:dyDescent="0.25">
      <c r="A11" s="564" t="s">
        <v>274</v>
      </c>
      <c r="B11" s="500">
        <v>45574</v>
      </c>
      <c r="C11" s="565">
        <v>9500</v>
      </c>
      <c r="D11" s="515" t="s">
        <v>294</v>
      </c>
      <c r="E11" s="502"/>
      <c r="F11" s="502">
        <f t="shared" si="0"/>
        <v>428.38</v>
      </c>
      <c r="G11" s="406">
        <f>7+103.4</f>
        <v>110.4</v>
      </c>
      <c r="H11" s="503">
        <f t="shared" si="1"/>
        <v>123.22</v>
      </c>
      <c r="I11" s="503">
        <f t="shared" si="2"/>
        <v>305.15999999999997</v>
      </c>
      <c r="J11" s="504"/>
    </row>
    <row r="12" spans="1:10" s="330" customFormat="1" ht="12.75" customHeight="1" x14ac:dyDescent="0.25">
      <c r="A12" s="564" t="s">
        <v>314</v>
      </c>
      <c r="B12" s="500">
        <v>45603</v>
      </c>
      <c r="C12" s="565">
        <v>2507</v>
      </c>
      <c r="D12" s="515" t="s">
        <v>315</v>
      </c>
      <c r="E12" s="502"/>
      <c r="F12" s="502">
        <f t="shared" si="0"/>
        <v>428.38</v>
      </c>
      <c r="G12" s="406">
        <f>6.35+13.32</f>
        <v>19.670000000000002</v>
      </c>
      <c r="H12" s="503">
        <f t="shared" si="1"/>
        <v>142.88999999999999</v>
      </c>
      <c r="I12" s="503">
        <f t="shared" si="2"/>
        <v>285.48999999999995</v>
      </c>
      <c r="J12" s="504"/>
    </row>
    <row r="13" spans="1:10" s="330" customFormat="1" ht="12.75" customHeight="1" x14ac:dyDescent="0.25">
      <c r="A13" s="564" t="s">
        <v>314</v>
      </c>
      <c r="B13" s="500">
        <v>45603</v>
      </c>
      <c r="C13" s="565">
        <v>9500</v>
      </c>
      <c r="D13" s="515" t="s">
        <v>316</v>
      </c>
      <c r="E13" s="502"/>
      <c r="F13" s="502">
        <f t="shared" si="0"/>
        <v>428.38</v>
      </c>
      <c r="G13" s="406">
        <f>10.5+122.1</f>
        <v>132.6</v>
      </c>
      <c r="H13" s="503">
        <f t="shared" si="1"/>
        <v>275.49</v>
      </c>
      <c r="I13" s="503">
        <f t="shared" si="2"/>
        <v>152.88999999999996</v>
      </c>
      <c r="J13" s="504"/>
    </row>
    <row r="14" spans="1:10" s="330" customFormat="1" ht="12.75" customHeight="1" x14ac:dyDescent="0.25">
      <c r="A14" s="564" t="s">
        <v>404</v>
      </c>
      <c r="B14" s="351">
        <v>45666</v>
      </c>
      <c r="C14" s="357">
        <v>2507</v>
      </c>
      <c r="D14" s="352" t="s">
        <v>405</v>
      </c>
      <c r="E14" s="502"/>
      <c r="F14" s="502">
        <f t="shared" si="0"/>
        <v>428.38</v>
      </c>
      <c r="G14" s="406">
        <f>2.12+2.8</f>
        <v>4.92</v>
      </c>
      <c r="H14" s="503">
        <f t="shared" si="1"/>
        <v>280.41000000000003</v>
      </c>
      <c r="I14" s="503">
        <f t="shared" si="2"/>
        <v>147.96999999999997</v>
      </c>
      <c r="J14" s="504"/>
    </row>
    <row r="15" spans="1:10" s="330" customFormat="1" ht="12.75" customHeight="1" x14ac:dyDescent="0.25">
      <c r="A15" s="564" t="s">
        <v>404</v>
      </c>
      <c r="B15" s="351">
        <v>45666</v>
      </c>
      <c r="C15" s="357">
        <v>9500</v>
      </c>
      <c r="D15" s="352" t="s">
        <v>406</v>
      </c>
      <c r="E15" s="502"/>
      <c r="F15" s="502">
        <f t="shared" si="0"/>
        <v>428.38</v>
      </c>
      <c r="G15" s="406">
        <f>3.5+41.8</f>
        <v>45.3</v>
      </c>
      <c r="H15" s="503">
        <f t="shared" si="1"/>
        <v>325.71000000000004</v>
      </c>
      <c r="I15" s="503">
        <f t="shared" si="2"/>
        <v>102.66999999999997</v>
      </c>
      <c r="J15" s="504"/>
    </row>
    <row r="16" spans="1:10" s="330" customFormat="1" ht="12.75" customHeight="1" x14ac:dyDescent="0.25">
      <c r="A16" s="564" t="s">
        <v>559</v>
      </c>
      <c r="B16" s="500">
        <v>45723</v>
      </c>
      <c r="C16" s="565">
        <v>2507</v>
      </c>
      <c r="D16" s="352" t="s">
        <v>560</v>
      </c>
      <c r="E16" s="502"/>
      <c r="F16" s="502">
        <f t="shared" si="0"/>
        <v>428.38</v>
      </c>
      <c r="G16" s="406">
        <f>2.12+8.41</f>
        <v>10.530000000000001</v>
      </c>
      <c r="H16" s="503">
        <f t="shared" si="1"/>
        <v>336.24</v>
      </c>
      <c r="I16" s="503">
        <f t="shared" si="2"/>
        <v>92.139999999999972</v>
      </c>
      <c r="J16" s="504"/>
    </row>
    <row r="17" spans="1:10" s="330" customFormat="1" ht="12.75" customHeight="1" x14ac:dyDescent="0.25">
      <c r="A17" s="564" t="s">
        <v>559</v>
      </c>
      <c r="B17" s="500">
        <v>45723</v>
      </c>
      <c r="C17" s="565">
        <v>9500</v>
      </c>
      <c r="D17" s="352" t="s">
        <v>561</v>
      </c>
      <c r="E17" s="502"/>
      <c r="F17" s="502">
        <f t="shared" si="0"/>
        <v>428.38</v>
      </c>
      <c r="G17" s="406">
        <f>3+42.9</f>
        <v>45.9</v>
      </c>
      <c r="H17" s="503">
        <f t="shared" si="1"/>
        <v>382.14</v>
      </c>
      <c r="I17" s="503">
        <f t="shared" si="2"/>
        <v>46.239999999999974</v>
      </c>
      <c r="J17" s="504"/>
    </row>
    <row r="18" spans="1:10" s="330" customFormat="1" ht="12.75" customHeight="1" x14ac:dyDescent="0.25">
      <c r="A18" s="564" t="s">
        <v>942</v>
      </c>
      <c r="B18" s="500">
        <v>45848</v>
      </c>
      <c r="C18" s="565">
        <v>2507</v>
      </c>
      <c r="D18" s="352" t="s">
        <v>943</v>
      </c>
      <c r="E18" s="502"/>
      <c r="F18" s="502">
        <f t="shared" si="0"/>
        <v>428.38</v>
      </c>
      <c r="G18" s="406">
        <f>2.54+2.8</f>
        <v>5.34</v>
      </c>
      <c r="H18" s="503">
        <f t="shared" si="1"/>
        <v>387.47999999999996</v>
      </c>
      <c r="I18" s="503">
        <f t="shared" si="2"/>
        <v>40.899999999999977</v>
      </c>
      <c r="J18" s="504"/>
    </row>
    <row r="19" spans="1:10" s="330" customFormat="1" ht="12.75" customHeight="1" x14ac:dyDescent="0.25">
      <c r="A19" s="564" t="s">
        <v>942</v>
      </c>
      <c r="B19" s="500">
        <v>45848</v>
      </c>
      <c r="C19" s="565">
        <v>9500</v>
      </c>
      <c r="D19" s="352" t="s">
        <v>944</v>
      </c>
      <c r="E19" s="502"/>
      <c r="F19" s="502">
        <f t="shared" si="0"/>
        <v>428.38</v>
      </c>
      <c r="G19" s="406">
        <f>3.5+37.4</f>
        <v>40.9</v>
      </c>
      <c r="H19" s="503">
        <f t="shared" si="1"/>
        <v>428.37999999999994</v>
      </c>
      <c r="I19" s="503">
        <f t="shared" si="2"/>
        <v>-2.1316282072803006E-14</v>
      </c>
      <c r="J19" s="504"/>
    </row>
    <row r="20" spans="1:10" s="330" customFormat="1" ht="12.75" customHeight="1" x14ac:dyDescent="0.25">
      <c r="A20" s="352"/>
      <c r="B20" s="500"/>
      <c r="C20" s="500"/>
      <c r="D20" s="515"/>
      <c r="E20" s="502"/>
      <c r="F20" s="502">
        <f t="shared" si="0"/>
        <v>428.38</v>
      </c>
      <c r="G20" s="503"/>
      <c r="H20" s="503">
        <f t="shared" si="1"/>
        <v>428.37999999999994</v>
      </c>
      <c r="I20" s="503">
        <f t="shared" si="2"/>
        <v>-2.1316282072803006E-14</v>
      </c>
      <c r="J20" s="504"/>
    </row>
    <row r="21" spans="1:10" s="330" customFormat="1" ht="12.75" customHeight="1" x14ac:dyDescent="0.25">
      <c r="A21" s="352"/>
      <c r="B21" s="500"/>
      <c r="C21" s="500"/>
      <c r="D21" s="504"/>
      <c r="E21" s="502"/>
      <c r="F21" s="502">
        <f t="shared" si="0"/>
        <v>428.38</v>
      </c>
      <c r="G21" s="503"/>
      <c r="H21" s="503">
        <f t="shared" si="1"/>
        <v>428.37999999999994</v>
      </c>
      <c r="I21" s="503">
        <f t="shared" si="2"/>
        <v>-2.1316282072803006E-14</v>
      </c>
      <c r="J21" s="504"/>
    </row>
    <row r="22" spans="1:10" s="330" customFormat="1" ht="12.75" customHeight="1" x14ac:dyDescent="0.25">
      <c r="A22" s="352"/>
      <c r="B22" s="501"/>
      <c r="C22" s="501"/>
      <c r="D22" s="515"/>
      <c r="E22" s="503"/>
      <c r="F22" s="503"/>
      <c r="G22" s="503"/>
      <c r="H22" s="503"/>
      <c r="I22" s="503"/>
      <c r="J22" s="504"/>
    </row>
    <row r="23" spans="1:10" s="330" customFormat="1" ht="12.75" customHeight="1" thickBot="1" x14ac:dyDescent="0.3">
      <c r="A23" s="352"/>
      <c r="B23" s="516"/>
      <c r="C23" s="516"/>
      <c r="D23" s="517" t="s">
        <v>54</v>
      </c>
      <c r="E23" s="405">
        <f>SUM(E9:E22)</f>
        <v>428.38</v>
      </c>
      <c r="F23" s="405"/>
      <c r="G23" s="405">
        <f>SUM(G9:G22)</f>
        <v>428.37999999999994</v>
      </c>
      <c r="H23" s="405"/>
      <c r="I23" s="405">
        <f>E23-G23</f>
        <v>0</v>
      </c>
      <c r="J23" s="50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2">
    <tabColor indexed="30"/>
    <pageSetUpPr fitToPage="1"/>
  </sheetPr>
  <dimension ref="A1:H144"/>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#9294.00'!B1</f>
        <v>DHS WRC Fire Alarm System Replacement Phase 1</v>
      </c>
      <c r="B1" s="79"/>
      <c r="C1" s="79"/>
      <c r="D1" s="79"/>
      <c r="E1" s="6"/>
      <c r="F1" s="6"/>
      <c r="G1" s="6"/>
      <c r="H1" s="124"/>
    </row>
    <row r="2" spans="1:8" ht="15.75" x14ac:dyDescent="0.25">
      <c r="A2" s="81" t="str">
        <f>'RECAP #9294.00'!B2</f>
        <v>Project # 9294.00</v>
      </c>
      <c r="B2" s="80"/>
      <c r="C2" s="80"/>
      <c r="D2" s="80"/>
      <c r="E2" s="6"/>
      <c r="F2" s="6"/>
      <c r="G2" s="6"/>
      <c r="H2" s="124"/>
    </row>
    <row r="3" spans="1:8" ht="15.75" x14ac:dyDescent="0.25">
      <c r="A3" s="82" t="str">
        <f>'RECAP #9294.00'!B3</f>
        <v>Program code 929400</v>
      </c>
      <c r="B3" s="80"/>
      <c r="C3" s="80"/>
      <c r="D3" s="80"/>
      <c r="E3" s="83" t="str">
        <f>'RECAP #9294.00'!E3</f>
        <v>Major Program 4B02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#9294.00'!B6</f>
        <v>Project Manager -Jennifer K.</v>
      </c>
      <c r="B6" s="86"/>
      <c r="C6" s="86"/>
      <c r="D6" s="86"/>
      <c r="E6" s="135"/>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ht="12.75" customHeight="1" x14ac:dyDescent="0.25">
      <c r="A9" s="151"/>
      <c r="B9" s="145"/>
      <c r="C9" s="144"/>
      <c r="D9" s="144"/>
      <c r="E9" s="169"/>
      <c r="F9" s="170"/>
      <c r="G9" s="155"/>
      <c r="H9" s="155">
        <f>G9</f>
        <v>0</v>
      </c>
    </row>
    <row r="10" spans="1:8" ht="12.75" customHeight="1" x14ac:dyDescent="0.25">
      <c r="A10" s="162"/>
      <c r="B10" s="145"/>
      <c r="C10" s="152"/>
      <c r="D10" s="152"/>
      <c r="E10" s="133"/>
      <c r="F10" s="99"/>
      <c r="G10" s="155"/>
      <c r="H10" s="155">
        <f>H9+G10</f>
        <v>0</v>
      </c>
    </row>
    <row r="11" spans="1:8" ht="12.75" customHeight="1" x14ac:dyDescent="0.25">
      <c r="A11" s="162"/>
      <c r="B11" s="145"/>
      <c r="C11" s="145"/>
      <c r="D11" s="145"/>
      <c r="E11" s="133"/>
      <c r="F11" s="99"/>
      <c r="G11" s="155"/>
      <c r="H11" s="155">
        <f t="shared" ref="H11:H20" si="0">H10+G11</f>
        <v>0</v>
      </c>
    </row>
    <row r="12" spans="1:8" ht="12.75" customHeight="1" x14ac:dyDescent="0.25">
      <c r="A12" s="162" t="s">
        <v>3</v>
      </c>
      <c r="B12" s="145" t="s">
        <v>3</v>
      </c>
      <c r="C12" s="145"/>
      <c r="D12" s="145"/>
      <c r="E12" s="133" t="s">
        <v>3</v>
      </c>
      <c r="F12" s="99"/>
      <c r="G12" s="155"/>
      <c r="H12" s="155">
        <f t="shared" si="0"/>
        <v>0</v>
      </c>
    </row>
    <row r="13" spans="1:8" ht="12.75" customHeight="1" x14ac:dyDescent="0.25">
      <c r="A13" s="162" t="s">
        <v>3</v>
      </c>
      <c r="B13" s="145" t="s">
        <v>3</v>
      </c>
      <c r="C13" s="145"/>
      <c r="D13" s="145"/>
      <c r="E13" s="133" t="s">
        <v>3</v>
      </c>
      <c r="F13" s="99"/>
      <c r="G13" s="155"/>
      <c r="H13" s="155">
        <f t="shared" si="0"/>
        <v>0</v>
      </c>
    </row>
    <row r="14" spans="1:8" ht="12.75" customHeight="1" x14ac:dyDescent="0.25">
      <c r="A14" s="162"/>
      <c r="B14" s="145"/>
      <c r="C14" s="145"/>
      <c r="D14" s="145"/>
      <c r="E14" s="133"/>
      <c r="F14" s="99"/>
      <c r="G14" s="155"/>
      <c r="H14" s="155">
        <f t="shared" si="0"/>
        <v>0</v>
      </c>
    </row>
    <row r="15" spans="1:8" ht="12.75" customHeight="1" x14ac:dyDescent="0.25">
      <c r="A15" s="162"/>
      <c r="B15" s="145"/>
      <c r="C15" s="145"/>
      <c r="D15" s="145"/>
      <c r="E15" s="171"/>
      <c r="F15" s="99"/>
      <c r="G15" s="155"/>
      <c r="H15" s="155">
        <f t="shared" si="0"/>
        <v>0</v>
      </c>
    </row>
    <row r="16" spans="1:8" ht="12.75" customHeight="1" x14ac:dyDescent="0.25">
      <c r="A16" s="162"/>
      <c r="B16" s="145"/>
      <c r="C16" s="145"/>
      <c r="D16" s="145"/>
      <c r="E16" s="133"/>
      <c r="F16" s="99"/>
      <c r="G16" s="155"/>
      <c r="H16" s="155">
        <f t="shared" si="0"/>
        <v>0</v>
      </c>
    </row>
    <row r="17" spans="1:8" ht="12.75" customHeight="1" x14ac:dyDescent="0.25">
      <c r="A17" s="144"/>
      <c r="B17" s="145"/>
      <c r="C17" s="145"/>
      <c r="D17" s="145"/>
      <c r="E17" s="133"/>
      <c r="F17" s="99"/>
      <c r="G17" s="155"/>
      <c r="H17" s="155">
        <f t="shared" si="0"/>
        <v>0</v>
      </c>
    </row>
    <row r="18" spans="1:8" ht="12.75" customHeight="1" x14ac:dyDescent="0.25">
      <c r="A18" s="144"/>
      <c r="B18" s="145"/>
      <c r="C18" s="145"/>
      <c r="D18" s="145"/>
      <c r="E18" s="133"/>
      <c r="F18" s="99"/>
      <c r="G18" s="155"/>
      <c r="H18" s="155">
        <f t="shared" si="0"/>
        <v>0</v>
      </c>
    </row>
    <row r="19" spans="1:8" ht="12.75" customHeight="1" x14ac:dyDescent="0.25">
      <c r="A19" s="144"/>
      <c r="B19" s="145"/>
      <c r="C19" s="145"/>
      <c r="D19" s="145"/>
      <c r="E19" s="133"/>
      <c r="F19" s="99"/>
      <c r="G19" s="155"/>
      <c r="H19" s="155">
        <f t="shared" si="0"/>
        <v>0</v>
      </c>
    </row>
    <row r="20" spans="1:8" ht="12.75" customHeight="1" x14ac:dyDescent="0.25">
      <c r="A20" s="144"/>
      <c r="B20" s="145"/>
      <c r="C20" s="145"/>
      <c r="D20" s="145"/>
      <c r="E20" s="133"/>
      <c r="F20" s="99"/>
      <c r="G20" s="155"/>
      <c r="H20" s="155">
        <f t="shared" si="0"/>
        <v>0</v>
      </c>
    </row>
    <row r="21" spans="1:8" ht="12.75" customHeight="1" x14ac:dyDescent="0.25">
      <c r="A21" s="144"/>
      <c r="B21" s="152"/>
      <c r="C21" s="152"/>
      <c r="D21" s="152"/>
      <c r="E21" s="133"/>
      <c r="F21" s="155"/>
      <c r="G21" s="133"/>
      <c r="H21" s="155"/>
    </row>
    <row r="22" spans="1:8" ht="12.75" customHeight="1" thickBot="1" x14ac:dyDescent="0.3">
      <c r="A22" s="172"/>
      <c r="B22" s="173"/>
      <c r="C22" s="173"/>
      <c r="D22" s="173"/>
      <c r="E22" s="174" t="s">
        <v>54</v>
      </c>
      <c r="F22" s="175"/>
      <c r="G22" s="123">
        <f>SUM(G9:G21)</f>
        <v>0</v>
      </c>
      <c r="H22" s="175"/>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3">
    <pageSetUpPr fitToPage="1"/>
  </sheetPr>
  <dimension ref="A1:G29"/>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88</v>
      </c>
      <c r="C1" s="79"/>
      <c r="D1" s="6"/>
      <c r="E1" s="6"/>
      <c r="F1" s="6"/>
      <c r="G1" s="6"/>
    </row>
    <row r="2" spans="1:7" ht="15.75" x14ac:dyDescent="0.25">
      <c r="A2" s="77"/>
      <c r="B2" s="81" t="s">
        <v>127</v>
      </c>
      <c r="C2" s="80"/>
      <c r="D2" s="6"/>
      <c r="E2" s="6"/>
      <c r="F2" s="6"/>
      <c r="G2" s="6"/>
    </row>
    <row r="3" spans="1:7" ht="15.75" x14ac:dyDescent="0.25">
      <c r="A3" s="77"/>
      <c r="B3" s="82" t="s">
        <v>89</v>
      </c>
      <c r="C3" s="80"/>
      <c r="D3" s="6"/>
      <c r="E3" s="83" t="s">
        <v>90</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897</v>
      </c>
      <c r="C6" s="87"/>
      <c r="D6" s="88" t="s">
        <v>3</v>
      </c>
      <c r="E6" s="6"/>
      <c r="F6" s="6"/>
      <c r="G6" s="6"/>
    </row>
    <row r="7" spans="1:7" ht="32.25" customHeight="1" thickBot="1" x14ac:dyDescent="0.3">
      <c r="A7" s="77"/>
      <c r="B7" s="89" t="s">
        <v>3</v>
      </c>
      <c r="C7" s="90" t="s">
        <v>0</v>
      </c>
      <c r="D7" s="91" t="s">
        <v>1</v>
      </c>
      <c r="E7" s="92" t="s">
        <v>2</v>
      </c>
      <c r="F7" s="93" t="s">
        <v>37</v>
      </c>
      <c r="G7" s="93" t="s">
        <v>38</v>
      </c>
    </row>
    <row r="8" spans="1:7" ht="28.35" customHeight="1" x14ac:dyDescent="0.25">
      <c r="A8" s="77"/>
      <c r="B8" s="80" t="s">
        <v>39</v>
      </c>
      <c r="C8" s="94">
        <f>'#9358.01 Funds Recv''d'!H24</f>
        <v>595000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170</v>
      </c>
      <c r="B10" s="474" t="s">
        <v>123</v>
      </c>
      <c r="C10" s="475"/>
      <c r="D10" s="479">
        <f>'#9358.01 Commonwealth Electric'!D25</f>
        <v>54357.100000000006</v>
      </c>
      <c r="E10" s="479">
        <f>'#9358.01 Commonwealth Electric'!F25</f>
        <v>54357.099999999991</v>
      </c>
      <c r="F10" s="479">
        <f>'#9358.01 Commonwealth Electric'!H25</f>
        <v>0</v>
      </c>
      <c r="G10" s="477"/>
    </row>
    <row r="11" spans="1:7" s="330" customFormat="1" ht="12.75" customHeight="1" x14ac:dyDescent="0.25">
      <c r="A11" s="473"/>
      <c r="B11" s="474" t="s">
        <v>41</v>
      </c>
      <c r="C11" s="475"/>
      <c r="D11" s="479">
        <f>'#9358.01 PM TIME'!E40</f>
        <v>14557.5</v>
      </c>
      <c r="E11" s="479">
        <f>'#9358.01 PM TIME'!G40</f>
        <v>10724.37</v>
      </c>
      <c r="F11" s="479">
        <f>'#9358.01 PM TIME'!I40</f>
        <v>3833.1299999999992</v>
      </c>
      <c r="G11" s="477"/>
    </row>
    <row r="12" spans="1:7" s="330" customFormat="1" ht="12.75" customHeight="1" x14ac:dyDescent="0.25">
      <c r="A12" s="473"/>
      <c r="B12" s="474" t="s">
        <v>42</v>
      </c>
      <c r="C12" s="476"/>
      <c r="D12" s="463">
        <f>'#9358.01 Misc'!G22</f>
        <v>4575.12</v>
      </c>
      <c r="E12" s="463">
        <f>'#9358.01 Misc'!G22</f>
        <v>4575.12</v>
      </c>
      <c r="F12" s="479">
        <f>D12-E12</f>
        <v>0</v>
      </c>
      <c r="G12" s="477"/>
    </row>
    <row r="13" spans="1:7" s="330" customFormat="1" ht="12.75" customHeight="1" x14ac:dyDescent="0.25">
      <c r="A13" s="478" t="s">
        <v>170</v>
      </c>
      <c r="B13" s="474" t="s">
        <v>128</v>
      </c>
      <c r="C13" s="476"/>
      <c r="D13" s="463">
        <f>'#9358.01 Central IA Mechanical'!D31</f>
        <v>418605.37</v>
      </c>
      <c r="E13" s="463">
        <f>'#9358.01 Central IA Mechanical'!F31</f>
        <v>418605.37000000005</v>
      </c>
      <c r="F13" s="479">
        <f>'#9358.01 Central IA Mechanical'!H31</f>
        <v>0</v>
      </c>
      <c r="G13" s="477"/>
    </row>
    <row r="14" spans="1:7" s="330" customFormat="1" ht="12.75" customHeight="1" x14ac:dyDescent="0.25">
      <c r="A14" s="473"/>
      <c r="B14" s="474" t="s">
        <v>151</v>
      </c>
      <c r="C14" s="476"/>
      <c r="D14" s="463">
        <f>'#9358.01 DCI Group'!D29</f>
        <v>75542.749999999985</v>
      </c>
      <c r="E14" s="463">
        <f>'#9358.01 DCI Group'!F29</f>
        <v>75542.75</v>
      </c>
      <c r="F14" s="479">
        <f>'#9358.01 DCI Group'!H29</f>
        <v>0</v>
      </c>
      <c r="G14" s="477"/>
    </row>
    <row r="15" spans="1:7" s="330" customFormat="1" ht="12.75" customHeight="1" x14ac:dyDescent="0.25">
      <c r="A15" s="473"/>
      <c r="B15" s="474"/>
      <c r="C15" s="476"/>
      <c r="D15" s="463"/>
      <c r="E15" s="463"/>
      <c r="F15" s="479"/>
      <c r="G15" s="477"/>
    </row>
    <row r="16" spans="1:7" ht="24" customHeight="1" thickBot="1" x14ac:dyDescent="0.3">
      <c r="A16" s="100"/>
      <c r="B16" s="101" t="s">
        <v>43</v>
      </c>
      <c r="C16" s="102">
        <f>SUM(C8:C15)</f>
        <v>595000</v>
      </c>
      <c r="D16" s="102">
        <f>SUM(D8:D15)</f>
        <v>567637.84</v>
      </c>
      <c r="E16" s="102">
        <f>SUM(E8:E15)</f>
        <v>563804.71000000008</v>
      </c>
      <c r="F16" s="102">
        <f>SUM(D16-E16)</f>
        <v>3833.1299999998882</v>
      </c>
      <c r="G16" s="102">
        <f>C8-D16</f>
        <v>27362.160000000033</v>
      </c>
    </row>
    <row r="17" spans="1:7" ht="13.35" customHeight="1" thickTop="1" x14ac:dyDescent="0.25">
      <c r="A17" s="77"/>
      <c r="B17" s="80"/>
      <c r="C17" s="80"/>
      <c r="D17" s="96"/>
      <c r="E17" s="96"/>
      <c r="F17" s="96"/>
      <c r="G17" s="96"/>
    </row>
    <row r="18" spans="1:7" ht="13.35" customHeight="1" x14ac:dyDescent="0.25">
      <c r="A18" s="77"/>
      <c r="B18" s="80"/>
      <c r="C18" s="80"/>
      <c r="D18" s="96"/>
      <c r="E18" s="96"/>
      <c r="F18" s="96"/>
      <c r="G18" s="96"/>
    </row>
    <row r="19" spans="1:7" ht="13.35" customHeight="1" x14ac:dyDescent="0.25">
      <c r="A19" s="77"/>
      <c r="B19" s="80"/>
      <c r="C19" s="80"/>
      <c r="D19" s="96"/>
      <c r="E19" s="96"/>
      <c r="F19" s="96"/>
      <c r="G19" s="96"/>
    </row>
    <row r="20" spans="1:7" ht="13.35" customHeight="1" x14ac:dyDescent="0.25">
      <c r="A20" s="77"/>
      <c r="B20" s="80"/>
      <c r="C20" s="80"/>
      <c r="D20" s="96"/>
      <c r="E20" s="96"/>
      <c r="F20" s="96"/>
      <c r="G20" s="96"/>
    </row>
    <row r="21" spans="1:7" ht="13.35" customHeight="1" x14ac:dyDescent="0.25">
      <c r="A21" s="77"/>
      <c r="B21" s="80"/>
      <c r="C21" s="80"/>
      <c r="D21" s="96"/>
      <c r="E21" s="96"/>
      <c r="F21" s="96"/>
      <c r="G21" s="96"/>
    </row>
    <row r="22" spans="1:7" ht="13.35" customHeight="1" x14ac:dyDescent="0.25">
      <c r="A22" s="77"/>
      <c r="B22" s="80"/>
      <c r="C22" s="80"/>
      <c r="D22" s="96"/>
      <c r="E22" s="96"/>
      <c r="F22" s="96"/>
      <c r="G22" s="96"/>
    </row>
    <row r="23" spans="1:7" ht="13.35" customHeight="1" x14ac:dyDescent="0.25">
      <c r="A23" s="77"/>
      <c r="B23" s="80"/>
      <c r="C23" s="80"/>
      <c r="D23" s="96"/>
      <c r="E23" s="96"/>
      <c r="F23" s="96"/>
      <c r="G23" s="96"/>
    </row>
    <row r="24" spans="1:7" ht="13.35" customHeight="1" x14ac:dyDescent="0.25">
      <c r="A24" s="77"/>
      <c r="B24" s="80"/>
      <c r="C24" s="80"/>
      <c r="D24" s="96"/>
      <c r="E24" s="96"/>
      <c r="F24" s="96"/>
      <c r="G24" s="96"/>
    </row>
    <row r="25" spans="1:7" x14ac:dyDescent="0.25">
      <c r="A25" s="77"/>
      <c r="B25" s="80"/>
      <c r="C25" s="80"/>
      <c r="D25" s="103"/>
      <c r="E25" s="6"/>
      <c r="F25" s="6"/>
      <c r="G25" s="6"/>
    </row>
    <row r="26" spans="1:7" x14ac:dyDescent="0.25">
      <c r="A26" s="77"/>
      <c r="B26" s="80"/>
      <c r="C26" s="80"/>
      <c r="D26" s="103"/>
      <c r="E26" s="6"/>
      <c r="F26" s="6"/>
      <c r="G26" s="6"/>
    </row>
    <row r="27" spans="1:7" x14ac:dyDescent="0.25">
      <c r="A27" s="77"/>
      <c r="B27" s="80"/>
      <c r="C27" s="80"/>
      <c r="D27" s="6"/>
      <c r="E27" s="6"/>
      <c r="F27" s="6"/>
      <c r="G27" s="6"/>
    </row>
    <row r="28" spans="1:7" x14ac:dyDescent="0.25">
      <c r="A28" s="77"/>
      <c r="B28" s="80"/>
      <c r="C28" s="80"/>
      <c r="D28" s="6"/>
      <c r="E28" s="6"/>
      <c r="F28" s="6"/>
      <c r="G28" s="6"/>
    </row>
    <row r="29" spans="1:7" x14ac:dyDescent="0.25">
      <c r="A29" s="77"/>
      <c r="B29" s="80"/>
      <c r="C29" s="80" t="s">
        <v>133</v>
      </c>
      <c r="D29" s="6"/>
      <c r="E29" s="6"/>
      <c r="F29" s="6"/>
      <c r="G29" s="6"/>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4">
    <pageSetUpPr fitToPage="1"/>
  </sheetPr>
  <dimension ref="A1:H44"/>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33.42578125" customWidth="1"/>
    <col min="5" max="5" width="25.42578125" customWidth="1"/>
    <col min="6" max="6" width="10.42578125" bestFit="1" customWidth="1"/>
    <col min="7" max="8" width="12.42578125" bestFit="1" customWidth="1"/>
    <col min="9" max="11" width="9.140625" customWidth="1"/>
  </cols>
  <sheetData>
    <row r="1" spans="1:8" x14ac:dyDescent="0.25">
      <c r="A1" s="104" t="str">
        <f>'RECAP #9358.01'!B1</f>
        <v>ICN CC Lucas CRAC Replacement</v>
      </c>
      <c r="B1" s="7"/>
      <c r="C1" s="2"/>
      <c r="D1" s="3"/>
      <c r="E1" s="3"/>
      <c r="F1" s="7"/>
      <c r="G1" s="7"/>
      <c r="H1" s="7"/>
    </row>
    <row r="2" spans="1:8" x14ac:dyDescent="0.25">
      <c r="A2" s="105" t="str">
        <f>'RECAP #9358.01'!B2</f>
        <v>Project # 9358.01</v>
      </c>
      <c r="B2" s="7"/>
      <c r="C2" s="106" t="s">
        <v>3</v>
      </c>
      <c r="D2" s="1"/>
      <c r="E2" s="1"/>
      <c r="F2" s="7"/>
      <c r="G2" s="7"/>
      <c r="H2" s="7"/>
    </row>
    <row r="3" spans="1:8" x14ac:dyDescent="0.25">
      <c r="A3" s="107" t="str">
        <f>'RECAP #9358.01'!B3</f>
        <v>Program code 935801</v>
      </c>
      <c r="B3" s="7"/>
      <c r="C3" s="106" t="s">
        <v>3</v>
      </c>
      <c r="D3" s="108" t="str">
        <f>'RECAP #9358.01'!E3</f>
        <v>Major Program 4F02</v>
      </c>
      <c r="E3" s="3"/>
      <c r="F3" s="7"/>
      <c r="G3" s="7"/>
      <c r="H3" s="7"/>
    </row>
    <row r="4" spans="1:8" ht="15.75" x14ac:dyDescent="0.25">
      <c r="A4" s="109" t="s">
        <v>44</v>
      </c>
      <c r="B4" s="110" t="s">
        <v>3</v>
      </c>
      <c r="C4" s="3"/>
      <c r="D4" s="3"/>
      <c r="E4" s="3"/>
      <c r="F4" s="7"/>
      <c r="G4" s="7"/>
      <c r="H4" s="7"/>
    </row>
    <row r="5" spans="1:8" x14ac:dyDescent="0.25">
      <c r="A5" s="100" t="s">
        <v>443</v>
      </c>
      <c r="B5" s="22"/>
      <c r="C5" s="111"/>
      <c r="D5" s="23"/>
      <c r="E5" s="7"/>
      <c r="F5" s="7"/>
      <c r="G5" s="7"/>
      <c r="H5" s="7"/>
    </row>
    <row r="6" spans="1:8" x14ac:dyDescent="0.25">
      <c r="A6" s="112" t="str">
        <f>'RECAP #9358.01'!B6</f>
        <v>Project Manager - Oliver S.</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45</v>
      </c>
      <c r="C8" s="116" t="s">
        <v>5</v>
      </c>
      <c r="D8" s="114" t="s">
        <v>6</v>
      </c>
      <c r="E8" s="115" t="s">
        <v>46</v>
      </c>
      <c r="F8" s="117" t="s">
        <v>7</v>
      </c>
      <c r="G8" s="116" t="s">
        <v>5</v>
      </c>
      <c r="H8" s="118" t="s">
        <v>8</v>
      </c>
    </row>
    <row r="9" spans="1:8" s="330" customFormat="1" ht="12.75" customHeight="1" x14ac:dyDescent="0.25">
      <c r="A9" s="230"/>
      <c r="B9" s="231"/>
      <c r="C9" s="232"/>
      <c r="D9" s="233" t="s">
        <v>73</v>
      </c>
      <c r="E9" s="233" t="s">
        <v>122</v>
      </c>
      <c r="F9" s="234">
        <v>45506</v>
      </c>
      <c r="G9" s="235">
        <v>595000</v>
      </c>
      <c r="H9" s="235">
        <v>595000</v>
      </c>
    </row>
    <row r="10" spans="1:8" s="330" customFormat="1" ht="12.75" customHeight="1" x14ac:dyDescent="0.25">
      <c r="A10" s="230"/>
      <c r="B10" s="230"/>
      <c r="C10" s="236"/>
      <c r="D10" s="233" t="s">
        <v>995</v>
      </c>
      <c r="E10" s="230" t="s">
        <v>1000</v>
      </c>
      <c r="F10" s="230">
        <v>45881</v>
      </c>
      <c r="G10" s="535">
        <v>-195203.53</v>
      </c>
      <c r="H10" s="535">
        <v>-195203.53</v>
      </c>
    </row>
    <row r="11" spans="1:8" s="330" customFormat="1" ht="12.75" customHeight="1" x14ac:dyDescent="0.25">
      <c r="A11" s="237"/>
      <c r="B11" s="236"/>
      <c r="C11" s="238"/>
      <c r="D11" s="233" t="s">
        <v>1057</v>
      </c>
      <c r="E11" s="230" t="s">
        <v>1061</v>
      </c>
      <c r="F11" s="230">
        <v>45896</v>
      </c>
      <c r="G11" s="536">
        <v>195203.53</v>
      </c>
      <c r="H11" s="536">
        <v>195203.53</v>
      </c>
    </row>
    <row r="12" spans="1:8" s="330" customFormat="1" ht="12.75" customHeight="1" x14ac:dyDescent="0.25">
      <c r="A12" s="237"/>
      <c r="B12" s="236"/>
      <c r="C12" s="239"/>
      <c r="D12" s="233"/>
      <c r="F12" s="230"/>
      <c r="G12" s="331"/>
      <c r="H12" s="537"/>
    </row>
    <row r="13" spans="1:8" s="330" customFormat="1" ht="12.75" customHeight="1" x14ac:dyDescent="0.25">
      <c r="A13" s="240"/>
      <c r="B13" s="241"/>
      <c r="C13" s="239"/>
      <c r="D13" s="233"/>
      <c r="F13" s="230"/>
      <c r="G13" s="333"/>
      <c r="H13" s="538"/>
    </row>
    <row r="14" spans="1:8" s="330" customFormat="1" ht="12.75" customHeight="1" x14ac:dyDescent="0.25">
      <c r="A14" s="237"/>
      <c r="B14" s="242"/>
      <c r="C14" s="239"/>
      <c r="D14" s="236"/>
      <c r="E14" s="242"/>
      <c r="F14" s="230"/>
      <c r="G14" s="331"/>
      <c r="H14" s="537"/>
    </row>
    <row r="15" spans="1:8" s="330" customFormat="1" ht="12.75" customHeight="1" x14ac:dyDescent="0.25">
      <c r="A15" s="237"/>
      <c r="B15" s="242"/>
      <c r="C15" s="243"/>
      <c r="D15" s="244"/>
      <c r="E15" s="241"/>
      <c r="F15" s="539"/>
      <c r="G15" s="246"/>
      <c r="H15" s="246"/>
    </row>
    <row r="16" spans="1:8" s="330" customFormat="1" ht="12.75" customHeight="1" x14ac:dyDescent="0.25">
      <c r="A16" s="237"/>
      <c r="B16" s="242"/>
      <c r="C16" s="243" t="s">
        <v>3</v>
      </c>
      <c r="D16" s="244"/>
      <c r="E16" s="242"/>
      <c r="F16" s="540"/>
      <c r="G16" s="246"/>
      <c r="H16" s="246"/>
    </row>
    <row r="17" spans="1:8" s="330" customFormat="1" ht="12.75" customHeight="1" x14ac:dyDescent="0.25">
      <c r="A17" s="237"/>
      <c r="B17" s="242"/>
      <c r="C17" s="243"/>
      <c r="D17" s="244"/>
      <c r="E17" s="242"/>
      <c r="F17" s="245"/>
      <c r="G17" s="247"/>
      <c r="H17" s="243"/>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2.75" customHeight="1" thickBot="1" x14ac:dyDescent="0.3">
      <c r="A24" s="526"/>
      <c r="B24" s="527" t="s">
        <v>9</v>
      </c>
      <c r="C24" s="528">
        <f>SUM(C9:C23)</f>
        <v>0</v>
      </c>
      <c r="D24" s="529" t="s">
        <v>10</v>
      </c>
      <c r="E24" s="530"/>
      <c r="F24" s="531"/>
      <c r="G24" s="426">
        <f>SUM(G9:G23)</f>
        <v>595000</v>
      </c>
      <c r="H24" s="426">
        <f>SUM(H9:H23)</f>
        <v>595000</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5">
    <tabColor rgb="FF0070C0"/>
    <pageSetUpPr fitToPage="1"/>
  </sheetPr>
  <dimension ref="A1:J133"/>
  <sheetViews>
    <sheetView tabSelected="1" topLeftCell="A8"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30.28515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12.5703125" style="282" customWidth="1"/>
    <col min="10" max="10" width="6.85546875" style="282" customWidth="1"/>
    <col min="11" max="16384" width="11.42578125" style="282"/>
  </cols>
  <sheetData>
    <row r="1" spans="1:10" ht="15.75" x14ac:dyDescent="0.25">
      <c r="A1" s="109" t="str">
        <f>'RECAP #9358.01'!B1</f>
        <v>ICN CC Lucas CRAC Replacement</v>
      </c>
      <c r="B1" s="109"/>
      <c r="C1" s="179"/>
      <c r="D1" s="179"/>
      <c r="E1" s="179"/>
      <c r="F1" s="180"/>
      <c r="G1" s="180"/>
      <c r="H1" s="181"/>
      <c r="I1" s="181"/>
      <c r="J1" s="181"/>
    </row>
    <row r="2" spans="1:10" ht="15.75" x14ac:dyDescent="0.25">
      <c r="A2" s="126" t="str">
        <f>'RECAP #9358.01'!B2</f>
        <v>Project # 9358.01</v>
      </c>
      <c r="B2" s="182"/>
      <c r="C2" s="179"/>
      <c r="D2" s="179"/>
      <c r="E2" s="179"/>
      <c r="F2" s="180"/>
      <c r="G2" s="180"/>
      <c r="H2" s="181"/>
      <c r="I2" s="181"/>
      <c r="J2" s="181"/>
    </row>
    <row r="3" spans="1:10" ht="15.75" x14ac:dyDescent="0.25">
      <c r="A3" s="183" t="str">
        <f>'RECAP #9358.01'!B3</f>
        <v>Program code 935801</v>
      </c>
      <c r="B3" s="182"/>
      <c r="C3" s="179"/>
      <c r="D3" s="184" t="str">
        <f>'RECAP #9358.01'!E3</f>
        <v>Major Program 4F02</v>
      </c>
      <c r="E3" s="179"/>
      <c r="F3" s="180"/>
      <c r="G3" s="180"/>
      <c r="H3" s="181"/>
      <c r="I3" s="181"/>
      <c r="J3" s="181"/>
    </row>
    <row r="4" spans="1:10" ht="15.75" x14ac:dyDescent="0.25">
      <c r="A4" s="109" t="s">
        <v>123</v>
      </c>
      <c r="B4" s="126"/>
      <c r="C4" s="181"/>
      <c r="D4" s="185" t="s">
        <v>124</v>
      </c>
      <c r="E4" s="180"/>
      <c r="F4" s="180"/>
      <c r="G4" s="180"/>
      <c r="H4" s="181"/>
      <c r="I4" s="181"/>
      <c r="J4" s="181"/>
    </row>
    <row r="5" spans="1:10" ht="15.75" x14ac:dyDescent="0.25">
      <c r="A5" s="186" t="s">
        <v>109</v>
      </c>
      <c r="B5" s="181"/>
      <c r="C5" s="187"/>
      <c r="D5" s="132" t="s">
        <v>125</v>
      </c>
      <c r="E5" s="137"/>
      <c r="F5" s="180"/>
      <c r="G5" s="180"/>
      <c r="H5" s="181"/>
      <c r="I5" s="181"/>
      <c r="J5" s="181"/>
    </row>
    <row r="6" spans="1:10" ht="15.75" x14ac:dyDescent="0.25">
      <c r="A6" s="126" t="str">
        <f>'RECAP #9358.01'!B6</f>
        <v>Project Manager - Oliver S.</v>
      </c>
      <c r="B6" s="126"/>
      <c r="C6" s="188"/>
      <c r="D6" s="189" t="s">
        <v>112</v>
      </c>
      <c r="E6" s="137"/>
      <c r="F6" s="138"/>
      <c r="G6" s="180"/>
      <c r="H6" s="181"/>
      <c r="I6" s="181"/>
      <c r="J6" s="181"/>
    </row>
    <row r="7" spans="1:10" ht="15.75" x14ac:dyDescent="0.25">
      <c r="A7" s="181"/>
      <c r="B7" s="190"/>
      <c r="C7" s="190"/>
      <c r="D7" s="181"/>
      <c r="E7" s="138"/>
      <c r="F7" s="138"/>
      <c r="G7" s="180"/>
      <c r="H7" s="181"/>
      <c r="I7" s="181" t="s">
        <v>3</v>
      </c>
      <c r="J7" s="181"/>
    </row>
    <row r="8" spans="1:10" ht="32.25" thickBot="1" x14ac:dyDescent="0.3">
      <c r="A8" s="191" t="s">
        <v>49</v>
      </c>
      <c r="B8" s="192" t="s">
        <v>4</v>
      </c>
      <c r="C8" s="193" t="s">
        <v>11</v>
      </c>
      <c r="D8" s="194" t="s">
        <v>50</v>
      </c>
      <c r="E8" s="194" t="s">
        <v>51</v>
      </c>
      <c r="F8" s="194" t="s">
        <v>52</v>
      </c>
      <c r="G8" s="194" t="s">
        <v>53</v>
      </c>
      <c r="H8" s="194" t="s">
        <v>12</v>
      </c>
      <c r="I8" s="335" t="s">
        <v>261</v>
      </c>
      <c r="J8" s="181"/>
    </row>
    <row r="9" spans="1:10" s="361" customFormat="1" ht="12.75" customHeight="1" x14ac:dyDescent="0.25">
      <c r="A9" s="499" t="s">
        <v>126</v>
      </c>
      <c r="B9" s="500">
        <v>45510</v>
      </c>
      <c r="C9" s="501" t="s">
        <v>107</v>
      </c>
      <c r="D9" s="404">
        <v>35369</v>
      </c>
      <c r="E9" s="502">
        <f>D9</f>
        <v>35369</v>
      </c>
      <c r="F9" s="503"/>
      <c r="G9" s="503"/>
      <c r="H9" s="503">
        <f>E9</f>
        <v>35369</v>
      </c>
      <c r="I9" s="504"/>
      <c r="J9" s="504"/>
    </row>
    <row r="10" spans="1:10" s="361" customFormat="1" ht="12.75" customHeight="1" x14ac:dyDescent="0.25">
      <c r="A10" s="499" t="s">
        <v>615</v>
      </c>
      <c r="B10" s="365">
        <v>45749</v>
      </c>
      <c r="C10" s="501" t="s">
        <v>616</v>
      </c>
      <c r="D10" s="502"/>
      <c r="E10" s="502">
        <f t="shared" ref="E10:E23" si="0">E9+D10</f>
        <v>35369</v>
      </c>
      <c r="F10" s="406">
        <v>3265.15</v>
      </c>
      <c r="G10" s="503">
        <f t="shared" ref="G10:G23" si="1">G9+F10</f>
        <v>3265.15</v>
      </c>
      <c r="H10" s="503">
        <f t="shared" ref="H10:H23" si="2">H9-F10+D10</f>
        <v>32103.85</v>
      </c>
      <c r="I10" s="406">
        <f>171.85</f>
        <v>171.85</v>
      </c>
      <c r="J10" s="504"/>
    </row>
    <row r="11" spans="1:10" s="361" customFormat="1" ht="12.75" customHeight="1" x14ac:dyDescent="0.25">
      <c r="A11" s="499" t="s">
        <v>126</v>
      </c>
      <c r="B11" s="500">
        <v>45769</v>
      </c>
      <c r="C11" s="501" t="s">
        <v>301</v>
      </c>
      <c r="D11" s="512">
        <v>-55.56</v>
      </c>
      <c r="E11" s="502">
        <f t="shared" si="0"/>
        <v>35313.440000000002</v>
      </c>
      <c r="F11" s="406"/>
      <c r="G11" s="503">
        <f t="shared" si="1"/>
        <v>3265.15</v>
      </c>
      <c r="H11" s="503">
        <f t="shared" si="2"/>
        <v>32048.289999999997</v>
      </c>
      <c r="I11" s="503"/>
      <c r="J11" s="504"/>
    </row>
    <row r="12" spans="1:10" s="361" customFormat="1" ht="12.75" customHeight="1" x14ac:dyDescent="0.25">
      <c r="A12" s="499" t="s">
        <v>126</v>
      </c>
      <c r="B12" s="500">
        <v>45785</v>
      </c>
      <c r="C12" s="501" t="s">
        <v>403</v>
      </c>
      <c r="D12" s="404">
        <v>19043.66</v>
      </c>
      <c r="E12" s="502">
        <f t="shared" si="0"/>
        <v>54357.100000000006</v>
      </c>
      <c r="F12" s="406"/>
      <c r="G12" s="503">
        <f t="shared" si="1"/>
        <v>3265.15</v>
      </c>
      <c r="H12" s="503">
        <f t="shared" si="2"/>
        <v>51091.95</v>
      </c>
      <c r="I12" s="503"/>
      <c r="J12" s="504"/>
    </row>
    <row r="13" spans="1:10" s="361" customFormat="1" ht="12.75" customHeight="1" x14ac:dyDescent="0.25">
      <c r="A13" s="499" t="s">
        <v>749</v>
      </c>
      <c r="B13" s="500">
        <v>45790</v>
      </c>
      <c r="C13" s="501" t="s">
        <v>750</v>
      </c>
      <c r="D13" s="502"/>
      <c r="E13" s="502">
        <f t="shared" si="0"/>
        <v>54357.100000000006</v>
      </c>
      <c r="F13" s="406">
        <v>16929</v>
      </c>
      <c r="G13" s="503">
        <f t="shared" si="1"/>
        <v>20194.150000000001</v>
      </c>
      <c r="H13" s="503">
        <f t="shared" si="2"/>
        <v>34162.949999999997</v>
      </c>
      <c r="I13" s="406">
        <f>I10+891</f>
        <v>1062.8499999999999</v>
      </c>
      <c r="J13" s="504"/>
    </row>
    <row r="14" spans="1:10" s="361" customFormat="1" ht="12.75" customHeight="1" x14ac:dyDescent="0.25">
      <c r="A14" s="499" t="s">
        <v>126</v>
      </c>
      <c r="B14" s="500">
        <v>45820</v>
      </c>
      <c r="C14" s="501" t="s">
        <v>836</v>
      </c>
      <c r="D14" s="404">
        <v>0</v>
      </c>
      <c r="E14" s="502">
        <f t="shared" si="0"/>
        <v>54357.100000000006</v>
      </c>
      <c r="F14" s="503"/>
      <c r="G14" s="503">
        <f t="shared" si="1"/>
        <v>20194.150000000001</v>
      </c>
      <c r="H14" s="503">
        <f t="shared" si="2"/>
        <v>34162.949999999997</v>
      </c>
      <c r="I14" s="503"/>
      <c r="J14" s="504"/>
    </row>
    <row r="15" spans="1:10" s="361" customFormat="1" ht="12.75" customHeight="1" x14ac:dyDescent="0.25">
      <c r="A15" s="499" t="s">
        <v>906</v>
      </c>
      <c r="B15" s="500">
        <v>45840</v>
      </c>
      <c r="C15" s="501" t="s">
        <v>907</v>
      </c>
      <c r="D15" s="502"/>
      <c r="E15" s="502">
        <f t="shared" si="0"/>
        <v>54357.100000000006</v>
      </c>
      <c r="F15" s="406">
        <v>929.52</v>
      </c>
      <c r="G15" s="503">
        <f t="shared" si="1"/>
        <v>21123.670000000002</v>
      </c>
      <c r="H15" s="503">
        <f t="shared" si="2"/>
        <v>33233.43</v>
      </c>
      <c r="I15" s="406">
        <f>I13+48.92</f>
        <v>1111.77</v>
      </c>
      <c r="J15" s="504"/>
    </row>
    <row r="16" spans="1:10" s="361" customFormat="1" ht="12.75" customHeight="1" x14ac:dyDescent="0.25">
      <c r="A16" s="505" t="s">
        <v>928</v>
      </c>
      <c r="B16" s="532">
        <v>45846</v>
      </c>
      <c r="C16" s="507" t="s">
        <v>929</v>
      </c>
      <c r="D16" s="508"/>
      <c r="E16" s="508">
        <f t="shared" si="0"/>
        <v>54357.100000000006</v>
      </c>
      <c r="F16" s="509">
        <v>11875</v>
      </c>
      <c r="G16" s="510">
        <f t="shared" si="1"/>
        <v>32998.67</v>
      </c>
      <c r="H16" s="510">
        <f t="shared" si="2"/>
        <v>21358.43</v>
      </c>
      <c r="I16" s="509">
        <f>I15+625</f>
        <v>1736.77</v>
      </c>
      <c r="J16" s="511" t="s">
        <v>1015</v>
      </c>
    </row>
    <row r="17" spans="1:10" s="361" customFormat="1" ht="12.75" customHeight="1" x14ac:dyDescent="0.25">
      <c r="A17" s="499" t="s">
        <v>1039</v>
      </c>
      <c r="B17" s="500">
        <v>45890</v>
      </c>
      <c r="C17" s="501" t="s">
        <v>1017</v>
      </c>
      <c r="D17" s="512">
        <v>0</v>
      </c>
      <c r="E17" s="502">
        <f t="shared" si="0"/>
        <v>54357.100000000006</v>
      </c>
      <c r="F17" s="406"/>
      <c r="G17" s="503">
        <f t="shared" si="1"/>
        <v>32998.67</v>
      </c>
      <c r="H17" s="503">
        <f t="shared" si="2"/>
        <v>21358.43</v>
      </c>
      <c r="I17" s="503"/>
      <c r="J17" s="504"/>
    </row>
    <row r="18" spans="1:10" s="361" customFormat="1" ht="12.75" customHeight="1" x14ac:dyDescent="0.25">
      <c r="A18" s="499" t="s">
        <v>1063</v>
      </c>
      <c r="B18" s="500">
        <v>45897</v>
      </c>
      <c r="C18" s="513" t="s">
        <v>1064</v>
      </c>
      <c r="D18" s="502"/>
      <c r="E18" s="502">
        <f t="shared" si="0"/>
        <v>54357.100000000006</v>
      </c>
      <c r="F18" s="406">
        <v>4750</v>
      </c>
      <c r="G18" s="503">
        <f t="shared" si="1"/>
        <v>37748.67</v>
      </c>
      <c r="H18" s="503">
        <f t="shared" si="2"/>
        <v>16608.43</v>
      </c>
      <c r="I18" s="406">
        <f>I16+250</f>
        <v>1986.77</v>
      </c>
      <c r="J18" s="504"/>
    </row>
    <row r="19" spans="1:10" s="361" customFormat="1" ht="12.75" customHeight="1" x14ac:dyDescent="0.25">
      <c r="A19" s="499" t="s">
        <v>1129</v>
      </c>
      <c r="B19" s="500">
        <v>45915</v>
      </c>
      <c r="C19" s="501" t="s">
        <v>1130</v>
      </c>
      <c r="D19" s="502"/>
      <c r="E19" s="502">
        <f t="shared" si="0"/>
        <v>54357.100000000006</v>
      </c>
      <c r="F19" s="406">
        <v>6031.23</v>
      </c>
      <c r="G19" s="503">
        <f t="shared" si="1"/>
        <v>43779.899999999994</v>
      </c>
      <c r="H19" s="503">
        <f t="shared" si="2"/>
        <v>10577.2</v>
      </c>
      <c r="I19" s="406">
        <f>I18+317.43</f>
        <v>2304.1999999999998</v>
      </c>
      <c r="J19" s="504"/>
    </row>
    <row r="20" spans="1:10" s="361" customFormat="1" ht="12.75" customHeight="1" x14ac:dyDescent="0.25">
      <c r="A20" s="499" t="s">
        <v>1039</v>
      </c>
      <c r="B20" s="500">
        <v>45916</v>
      </c>
      <c r="C20" s="501" t="s">
        <v>1146</v>
      </c>
      <c r="D20" s="512">
        <v>0</v>
      </c>
      <c r="E20" s="502">
        <f t="shared" si="0"/>
        <v>54357.100000000006</v>
      </c>
      <c r="F20" s="503"/>
      <c r="G20" s="503">
        <f t="shared" si="1"/>
        <v>43779.899999999994</v>
      </c>
      <c r="H20" s="503">
        <f t="shared" si="2"/>
        <v>10577.2</v>
      </c>
      <c r="I20" s="503"/>
      <c r="J20" s="504"/>
    </row>
    <row r="21" spans="1:10" s="361" customFormat="1" ht="12.75" customHeight="1" x14ac:dyDescent="0.25">
      <c r="A21" s="499" t="s">
        <v>1487</v>
      </c>
      <c r="B21" s="500">
        <v>46038</v>
      </c>
      <c r="C21" s="501" t="s">
        <v>1488</v>
      </c>
      <c r="D21" s="512"/>
      <c r="E21" s="502">
        <f t="shared" si="0"/>
        <v>54357.100000000006</v>
      </c>
      <c r="F21" s="406">
        <v>6909.35</v>
      </c>
      <c r="G21" s="503">
        <f t="shared" si="1"/>
        <v>50689.249999999993</v>
      </c>
      <c r="H21" s="503">
        <f t="shared" si="2"/>
        <v>3667.8500000000004</v>
      </c>
      <c r="I21" s="406">
        <f>I19+363.65</f>
        <v>2667.85</v>
      </c>
      <c r="J21" s="504"/>
    </row>
    <row r="22" spans="1:10" s="361" customFormat="1" ht="12.75" customHeight="1" x14ac:dyDescent="0.25">
      <c r="A22" s="499" t="s">
        <v>1634</v>
      </c>
      <c r="B22" s="500">
        <v>46077</v>
      </c>
      <c r="C22" s="501" t="s">
        <v>1635</v>
      </c>
      <c r="D22" s="512"/>
      <c r="E22" s="502">
        <f t="shared" si="0"/>
        <v>54357.100000000006</v>
      </c>
      <c r="F22" s="406">
        <v>950</v>
      </c>
      <c r="G22" s="503">
        <f t="shared" si="1"/>
        <v>51639.249999999993</v>
      </c>
      <c r="H22" s="503">
        <f t="shared" si="2"/>
        <v>2717.8500000000004</v>
      </c>
      <c r="I22" s="406">
        <f>I21+50</f>
        <v>2717.85</v>
      </c>
      <c r="J22" s="504"/>
    </row>
    <row r="23" spans="1:10" s="361" customFormat="1" ht="12.75" customHeight="1" x14ac:dyDescent="0.25">
      <c r="A23" s="499" t="s">
        <v>1651</v>
      </c>
      <c r="B23" s="500">
        <v>46085</v>
      </c>
      <c r="C23" s="514" t="s">
        <v>1652</v>
      </c>
      <c r="D23" s="502"/>
      <c r="E23" s="502">
        <f t="shared" si="0"/>
        <v>54357.100000000006</v>
      </c>
      <c r="F23" s="406">
        <v>2717.85</v>
      </c>
      <c r="G23" s="503">
        <f t="shared" si="1"/>
        <v>54357.099999999991</v>
      </c>
      <c r="H23" s="503">
        <f t="shared" si="2"/>
        <v>4.5474735088646412E-13</v>
      </c>
      <c r="I23" s="503"/>
      <c r="J23" s="504"/>
    </row>
    <row r="24" spans="1:10" s="361" customFormat="1" ht="12.75" customHeight="1" x14ac:dyDescent="0.25">
      <c r="A24" s="499"/>
      <c r="B24" s="501"/>
      <c r="C24" s="515"/>
      <c r="D24" s="503"/>
      <c r="E24" s="503"/>
      <c r="F24" s="503"/>
      <c r="G24" s="503"/>
      <c r="H24" s="503"/>
      <c r="I24" s="503"/>
      <c r="J24" s="504"/>
    </row>
    <row r="25" spans="1:10" s="361" customFormat="1" ht="12.75" customHeight="1" thickBot="1" x14ac:dyDescent="0.3">
      <c r="A25" s="499"/>
      <c r="B25" s="516"/>
      <c r="C25" s="517" t="s">
        <v>54</v>
      </c>
      <c r="D25" s="405">
        <f>SUM(D9:D24)</f>
        <v>54357.100000000006</v>
      </c>
      <c r="E25" s="405"/>
      <c r="F25" s="405">
        <f>SUM(F9:F24)</f>
        <v>54357.099999999991</v>
      </c>
      <c r="G25" s="405"/>
      <c r="H25" s="405">
        <f>D25-F25</f>
        <v>0</v>
      </c>
      <c r="I25" s="533"/>
      <c r="J25" s="504"/>
    </row>
    <row r="26" spans="1:10" s="361" customFormat="1" ht="12.75" customHeight="1" thickTop="1" x14ac:dyDescent="0.25"/>
    <row r="27" spans="1:10" s="361" customFormat="1" ht="12.75" customHeight="1" x14ac:dyDescent="0.25"/>
    <row r="28" spans="1:10" s="361" customFormat="1" ht="12.75" customHeight="1" x14ac:dyDescent="0.25"/>
    <row r="29" spans="1:10" s="361" customFormat="1" ht="12.75" customHeight="1" x14ac:dyDescent="0.25"/>
    <row r="30" spans="1:10" s="361" customFormat="1" ht="12.75" customHeight="1" x14ac:dyDescent="0.25"/>
    <row r="31" spans="1:10" s="361" customFormat="1" ht="12.75" customHeight="1" x14ac:dyDescent="0.25"/>
    <row r="32" spans="1:10" s="361" customFormat="1" ht="12.75" customHeight="1" x14ac:dyDescent="0.25"/>
    <row r="33" s="361" customFormat="1" ht="12.75" customHeight="1" x14ac:dyDescent="0.25"/>
    <row r="34" s="361" customFormat="1" ht="12.75" customHeight="1" x14ac:dyDescent="0.25"/>
    <row r="35" s="361" customFormat="1" ht="12.75" customHeight="1" x14ac:dyDescent="0.25"/>
    <row r="36" s="361" customFormat="1" ht="12.75" customHeight="1" x14ac:dyDescent="0.25"/>
    <row r="37" s="361" customFormat="1" ht="12.75" customHeight="1" x14ac:dyDescent="0.25"/>
    <row r="38" s="361" customFormat="1" ht="12.75" customHeight="1" x14ac:dyDescent="0.25"/>
    <row r="39" s="361" customFormat="1" ht="12.75" customHeight="1" x14ac:dyDescent="0.25"/>
    <row r="40" s="361" customFormat="1" ht="12.75" customHeight="1" x14ac:dyDescent="0.25"/>
    <row r="41" s="361" customFormat="1" ht="12.75" customHeight="1" x14ac:dyDescent="0.25"/>
    <row r="42" s="361" customFormat="1" ht="12.75" customHeight="1" x14ac:dyDescent="0.25"/>
    <row r="43" s="361" customFormat="1" ht="12.75" customHeight="1" x14ac:dyDescent="0.25"/>
    <row r="44" s="361" customFormat="1" ht="12.75" customHeight="1" x14ac:dyDescent="0.25"/>
    <row r="45" s="361" customFormat="1" ht="12.75" customHeight="1" x14ac:dyDescent="0.25"/>
    <row r="46" s="361" customFormat="1" ht="12.75" customHeight="1" x14ac:dyDescent="0.25"/>
    <row r="47" s="361" customFormat="1" ht="12.75" customHeight="1" x14ac:dyDescent="0.25"/>
    <row r="48" s="361" customFormat="1" ht="12.75" customHeight="1" x14ac:dyDescent="0.25"/>
    <row r="49" s="361" customFormat="1" ht="12.75" customHeight="1" x14ac:dyDescent="0.25"/>
    <row r="50" s="361" customFormat="1" ht="12.75" customHeight="1" x14ac:dyDescent="0.25"/>
    <row r="51" s="361" customFormat="1" ht="12.75" customHeight="1" x14ac:dyDescent="0.25"/>
    <row r="52" s="361" customFormat="1" ht="12.75" customHeight="1" x14ac:dyDescent="0.25"/>
    <row r="53" s="361" customFormat="1" ht="12.75" customHeight="1" x14ac:dyDescent="0.25"/>
    <row r="54" s="361" customFormat="1" ht="12.75" customHeight="1" x14ac:dyDescent="0.25"/>
    <row r="55" s="361" customFormat="1" ht="12.75" customHeight="1" x14ac:dyDescent="0.25"/>
    <row r="56" s="361" customFormat="1" ht="12.75" customHeight="1" x14ac:dyDescent="0.25"/>
    <row r="57" s="361" customFormat="1" ht="12.75" customHeight="1" x14ac:dyDescent="0.25"/>
    <row r="58" s="361" customFormat="1" ht="12.75" customHeight="1" x14ac:dyDescent="0.25"/>
    <row r="59" s="361" customFormat="1" ht="12.75" customHeight="1" x14ac:dyDescent="0.25"/>
    <row r="60" s="361" customFormat="1" ht="12.75" customHeight="1" x14ac:dyDescent="0.25"/>
    <row r="61" s="361" customFormat="1" ht="12.75" customHeight="1" x14ac:dyDescent="0.25"/>
    <row r="62" s="361" customFormat="1" ht="12.75" customHeight="1" x14ac:dyDescent="0.25"/>
    <row r="63" s="361" customFormat="1" ht="12.75" customHeight="1" x14ac:dyDescent="0.25"/>
    <row r="64" s="361" customFormat="1" ht="12.75" customHeight="1" x14ac:dyDescent="0.25"/>
    <row r="65" s="361" customFormat="1" ht="12.75" customHeight="1" x14ac:dyDescent="0.25"/>
    <row r="66" s="361" customFormat="1" ht="12.75" customHeight="1" x14ac:dyDescent="0.25"/>
    <row r="67" s="361" customFormat="1" ht="12.75" customHeight="1" x14ac:dyDescent="0.25"/>
    <row r="68" s="361" customFormat="1" ht="12.75" customHeight="1" x14ac:dyDescent="0.25"/>
    <row r="69" s="361" customFormat="1" ht="12.75" customHeight="1" x14ac:dyDescent="0.25"/>
    <row r="70" s="361" customFormat="1" ht="12.75" customHeight="1" x14ac:dyDescent="0.25"/>
    <row r="71" s="361" customFormat="1" ht="12.75" customHeight="1" x14ac:dyDescent="0.25"/>
    <row r="72" s="361" customFormat="1" ht="12.75" customHeight="1" x14ac:dyDescent="0.25"/>
    <row r="73" s="361" customFormat="1" ht="12.75" customHeight="1" x14ac:dyDescent="0.25"/>
    <row r="74" s="361" customFormat="1" ht="12.75" customHeight="1" x14ac:dyDescent="0.25"/>
    <row r="75" s="361" customFormat="1" ht="12.75" customHeight="1" x14ac:dyDescent="0.25"/>
    <row r="76" s="361" customFormat="1" ht="12.75" customHeight="1" x14ac:dyDescent="0.25"/>
    <row r="77" s="361" customFormat="1" ht="12.75" customHeight="1" x14ac:dyDescent="0.25"/>
    <row r="78" s="361" customFormat="1" ht="12.75" customHeight="1" x14ac:dyDescent="0.25"/>
    <row r="79" s="361" customFormat="1" ht="12.75" customHeight="1" x14ac:dyDescent="0.25"/>
    <row r="80" s="361" customFormat="1" ht="12.75" customHeight="1" x14ac:dyDescent="0.25"/>
    <row r="81" s="361" customFormat="1" ht="12.75" customHeight="1" x14ac:dyDescent="0.25"/>
    <row r="82" s="361" customFormat="1" ht="12.75" customHeight="1" x14ac:dyDescent="0.25"/>
    <row r="83" s="361" customFormat="1" ht="12.75" customHeight="1" x14ac:dyDescent="0.25"/>
    <row r="84" s="361" customFormat="1" ht="12.75" customHeight="1" x14ac:dyDescent="0.25"/>
    <row r="85" s="361" customFormat="1" ht="12.75" customHeight="1" x14ac:dyDescent="0.25"/>
    <row r="86" s="361" customFormat="1" ht="12.75" customHeight="1" x14ac:dyDescent="0.25"/>
    <row r="87" s="361" customFormat="1" ht="12.75" customHeight="1" x14ac:dyDescent="0.25"/>
    <row r="88" s="361" customFormat="1" ht="12.75" customHeight="1" x14ac:dyDescent="0.25"/>
    <row r="89" s="361" customFormat="1" ht="12.75" customHeight="1" x14ac:dyDescent="0.25"/>
    <row r="90" s="361" customFormat="1" ht="12.75" customHeight="1" x14ac:dyDescent="0.25"/>
    <row r="91" s="361" customFormat="1" ht="12.75" customHeight="1" x14ac:dyDescent="0.25"/>
    <row r="92" s="361" customFormat="1" ht="12.75" customHeight="1" x14ac:dyDescent="0.25"/>
    <row r="93" s="361" customFormat="1" ht="12.75" customHeight="1" x14ac:dyDescent="0.25"/>
    <row r="94" s="361" customFormat="1" ht="12.75" customHeight="1" x14ac:dyDescent="0.25"/>
    <row r="95" s="361" customFormat="1" ht="12.75" customHeight="1" x14ac:dyDescent="0.25"/>
    <row r="96" s="361" customFormat="1" ht="12.75" customHeight="1" x14ac:dyDescent="0.25"/>
    <row r="97" s="361" customFormat="1" ht="12.75" customHeight="1" x14ac:dyDescent="0.25"/>
    <row r="98" s="361" customFormat="1" ht="12.75" customHeight="1" x14ac:dyDescent="0.25"/>
    <row r="99" s="361" customFormat="1" ht="12.75" customHeight="1" x14ac:dyDescent="0.25"/>
    <row r="100" s="361" customFormat="1" ht="12.75" customHeight="1" x14ac:dyDescent="0.25"/>
    <row r="101" s="361" customFormat="1" ht="12.75" customHeight="1" x14ac:dyDescent="0.25"/>
    <row r="102" s="361" customFormat="1" ht="12.75" customHeight="1" x14ac:dyDescent="0.25"/>
    <row r="103" s="361" customFormat="1" ht="12.75" customHeight="1" x14ac:dyDescent="0.25"/>
    <row r="104" s="361" customFormat="1" ht="12.75" customHeight="1" x14ac:dyDescent="0.25"/>
    <row r="105" s="361" customFormat="1" ht="12.75" customHeight="1" x14ac:dyDescent="0.25"/>
    <row r="106" s="361" customFormat="1" ht="12.75" customHeight="1" x14ac:dyDescent="0.25"/>
    <row r="107" s="361" customFormat="1" ht="12.75" customHeight="1" x14ac:dyDescent="0.25"/>
    <row r="108" s="361" customFormat="1" ht="12.75" customHeight="1" x14ac:dyDescent="0.25"/>
    <row r="109" s="361" customFormat="1" ht="12.75" customHeight="1" x14ac:dyDescent="0.25"/>
    <row r="110" s="361" customFormat="1" ht="12.75" customHeight="1" x14ac:dyDescent="0.25"/>
    <row r="111" s="361" customFormat="1" ht="12.75" customHeight="1" x14ac:dyDescent="0.25"/>
    <row r="112" s="361" customFormat="1" ht="12.75" customHeight="1" x14ac:dyDescent="0.25"/>
    <row r="113" s="361" customFormat="1" ht="12.75" customHeight="1" x14ac:dyDescent="0.25"/>
    <row r="114" s="361" customFormat="1" ht="12.75" customHeight="1" x14ac:dyDescent="0.25"/>
    <row r="115" s="361" customFormat="1" ht="12.75" customHeight="1" x14ac:dyDescent="0.25"/>
    <row r="116" s="361" customFormat="1" ht="12.75" customHeight="1" x14ac:dyDescent="0.25"/>
    <row r="117" s="361" customFormat="1" ht="12.75" customHeight="1" x14ac:dyDescent="0.25"/>
    <row r="118" s="361" customFormat="1" ht="12.75" customHeight="1" x14ac:dyDescent="0.25"/>
    <row r="119" s="361" customFormat="1" ht="12.75" customHeight="1" x14ac:dyDescent="0.25"/>
    <row r="120" s="361" customFormat="1" ht="12.75" customHeight="1" x14ac:dyDescent="0.25"/>
    <row r="121" s="361" customFormat="1" ht="12.75" customHeight="1" x14ac:dyDescent="0.25"/>
    <row r="122" s="361" customFormat="1" ht="12.75" customHeight="1" x14ac:dyDescent="0.25"/>
    <row r="123" s="361" customFormat="1" ht="12.75" customHeight="1" x14ac:dyDescent="0.25"/>
    <row r="124" s="361" customFormat="1" ht="12.75" customHeight="1" x14ac:dyDescent="0.25"/>
    <row r="125" s="361" customFormat="1" ht="12.75" customHeight="1" x14ac:dyDescent="0.25"/>
    <row r="126" s="361" customFormat="1" ht="12.75" customHeight="1" x14ac:dyDescent="0.25"/>
    <row r="127" s="361" customFormat="1" ht="12.75" customHeight="1" x14ac:dyDescent="0.25"/>
    <row r="128" s="361" customFormat="1" ht="12.75" customHeight="1" x14ac:dyDescent="0.25"/>
    <row r="129" s="361" customFormat="1" ht="12.75" customHeight="1" x14ac:dyDescent="0.25"/>
    <row r="130" s="361" customFormat="1" ht="12.75" customHeight="1" x14ac:dyDescent="0.25"/>
    <row r="131" s="361" customFormat="1" ht="12.75" customHeight="1" x14ac:dyDescent="0.25"/>
    <row r="132" s="361" customFormat="1" ht="12.75" customHeight="1" x14ac:dyDescent="0.25"/>
    <row r="133" s="361"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6">
    <pageSetUpPr fitToPage="1"/>
  </sheetPr>
  <dimension ref="A1:J42"/>
  <sheetViews>
    <sheetView tabSelected="1" topLeftCell="A8"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8.140625" customWidth="1"/>
    <col min="5" max="5" width="15" customWidth="1"/>
    <col min="6" max="6" width="13.5703125" customWidth="1"/>
    <col min="7" max="7" width="12.42578125" customWidth="1"/>
    <col min="8" max="8" width="10.5703125" customWidth="1"/>
    <col min="9" max="9" width="10.5703125" bestFit="1" customWidth="1"/>
  </cols>
  <sheetData>
    <row r="1" spans="1:10" ht="15.75" x14ac:dyDescent="0.25">
      <c r="A1" s="78" t="str">
        <f>'RECAP #9358.01'!B1</f>
        <v>ICN CC Lucas CRAC Replacement</v>
      </c>
      <c r="B1" s="79"/>
      <c r="C1" s="79"/>
      <c r="D1" s="6"/>
      <c r="E1" s="6"/>
      <c r="F1" s="6"/>
      <c r="G1" s="124"/>
      <c r="H1" s="124"/>
      <c r="I1" s="125"/>
      <c r="J1" s="125"/>
    </row>
    <row r="2" spans="1:10" ht="15.75" x14ac:dyDescent="0.25">
      <c r="A2" s="81" t="str">
        <f>'RECAP #9358.01'!B2</f>
        <v>Project # 9358.01</v>
      </c>
      <c r="B2" s="80"/>
      <c r="C2" s="80"/>
      <c r="D2" s="6"/>
      <c r="E2" s="6"/>
      <c r="F2" s="6"/>
      <c r="G2" s="124"/>
      <c r="H2" s="124"/>
      <c r="I2" s="125"/>
      <c r="J2" s="125"/>
    </row>
    <row r="3" spans="1:10" ht="15.75" x14ac:dyDescent="0.25">
      <c r="A3" s="82" t="str">
        <f>'RECAP #9358.01'!B3</f>
        <v>Program code 935801</v>
      </c>
      <c r="B3" s="80"/>
      <c r="C3" s="80"/>
      <c r="D3" s="6"/>
      <c r="E3" s="83" t="str">
        <f>'RECAP #9358.01'!E3</f>
        <v>Major Program 4F02</v>
      </c>
      <c r="F3" s="6"/>
      <c r="G3" s="124"/>
      <c r="H3" s="124"/>
      <c r="I3" s="125"/>
      <c r="J3" s="125"/>
    </row>
    <row r="4" spans="1:10" ht="15.75" x14ac:dyDescent="0.25">
      <c r="A4" s="109" t="s">
        <v>41</v>
      </c>
      <c r="B4" s="126"/>
      <c r="C4" s="126"/>
      <c r="D4" s="127"/>
      <c r="E4" s="128" t="s">
        <v>55</v>
      </c>
      <c r="F4" s="124"/>
      <c r="G4" s="124"/>
      <c r="H4" s="124"/>
      <c r="I4" s="125"/>
      <c r="J4" s="125"/>
    </row>
    <row r="5" spans="1:10" ht="15.75" x14ac:dyDescent="0.25">
      <c r="A5" s="129" t="s">
        <v>66</v>
      </c>
      <c r="B5" s="130"/>
      <c r="C5" s="130"/>
      <c r="D5" s="131"/>
      <c r="E5" s="132"/>
      <c r="F5" s="133"/>
      <c r="G5" s="134"/>
      <c r="H5" s="134"/>
      <c r="I5" s="130"/>
      <c r="J5" s="125"/>
    </row>
    <row r="6" spans="1:10" ht="15.75" x14ac:dyDescent="0.25">
      <c r="A6" s="86" t="str">
        <f>'RECAP #9358.01'!B6</f>
        <v>Project Manager - Oliver S.</v>
      </c>
      <c r="B6" s="86"/>
      <c r="C6" s="86"/>
      <c r="D6" s="135"/>
      <c r="E6" s="132" t="s">
        <v>91</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49</v>
      </c>
      <c r="B8" s="141" t="s">
        <v>4</v>
      </c>
      <c r="C8" s="160" t="s">
        <v>56</v>
      </c>
      <c r="D8" s="161" t="s">
        <v>57</v>
      </c>
      <c r="E8" s="143" t="s">
        <v>50</v>
      </c>
      <c r="F8" s="143" t="s">
        <v>51</v>
      </c>
      <c r="G8" s="143" t="s">
        <v>52</v>
      </c>
      <c r="H8" s="143" t="s">
        <v>53</v>
      </c>
      <c r="I8" s="143" t="s">
        <v>12</v>
      </c>
      <c r="J8" s="125" t="s">
        <v>3</v>
      </c>
    </row>
    <row r="9" spans="1:10" s="330" customFormat="1" ht="12.75" customHeight="1" x14ac:dyDescent="0.25">
      <c r="A9" s="455"/>
      <c r="B9" s="409"/>
      <c r="C9" s="409"/>
      <c r="D9" s="425" t="s">
        <v>92</v>
      </c>
      <c r="E9" s="411">
        <f>3057.5+2000+500+2000+2000+5000</f>
        <v>14557.5</v>
      </c>
      <c r="F9" s="412">
        <f>E9</f>
        <v>14557.5</v>
      </c>
      <c r="G9" s="413"/>
      <c r="H9" s="413"/>
      <c r="I9" s="413">
        <f>F9</f>
        <v>14557.5</v>
      </c>
      <c r="J9" s="414"/>
    </row>
    <row r="10" spans="1:10" s="330" customFormat="1" ht="12.75" customHeight="1" x14ac:dyDescent="0.25">
      <c r="A10" s="456" t="s">
        <v>733</v>
      </c>
      <c r="B10" s="409">
        <v>45789</v>
      </c>
      <c r="C10" s="457">
        <v>2507</v>
      </c>
      <c r="D10" s="231" t="s">
        <v>734</v>
      </c>
      <c r="E10" s="412"/>
      <c r="F10" s="412">
        <f t="shared" ref="F10:F38" si="0">F9+E10</f>
        <v>14557.5</v>
      </c>
      <c r="G10" s="445">
        <v>70.02</v>
      </c>
      <c r="H10" s="413">
        <f>H9+G10</f>
        <v>70.02</v>
      </c>
      <c r="I10" s="413">
        <f>I9-G10+E10</f>
        <v>14487.48</v>
      </c>
      <c r="J10" s="414"/>
    </row>
    <row r="11" spans="1:10" s="330" customFormat="1" ht="12.75" customHeight="1" x14ac:dyDescent="0.25">
      <c r="A11" s="456" t="s">
        <v>733</v>
      </c>
      <c r="B11" s="409">
        <v>45789</v>
      </c>
      <c r="C11" s="457">
        <v>9500</v>
      </c>
      <c r="D11" s="231" t="s">
        <v>734</v>
      </c>
      <c r="E11" s="412"/>
      <c r="F11" s="412">
        <f t="shared" si="0"/>
        <v>14557.5</v>
      </c>
      <c r="G11" s="445">
        <v>480.8</v>
      </c>
      <c r="H11" s="413">
        <f t="shared" ref="H11:H38" si="1">H10+G11</f>
        <v>550.82000000000005</v>
      </c>
      <c r="I11" s="413">
        <f t="shared" ref="I11:I38" si="2">I10-G11+E11</f>
        <v>14006.68</v>
      </c>
      <c r="J11" s="414"/>
    </row>
    <row r="12" spans="1:10" s="330" customFormat="1" ht="12.75" customHeight="1" x14ac:dyDescent="0.25">
      <c r="A12" s="456" t="s">
        <v>822</v>
      </c>
      <c r="B12" s="409">
        <v>45817</v>
      </c>
      <c r="C12" s="457">
        <v>2507</v>
      </c>
      <c r="D12" s="458" t="s">
        <v>823</v>
      </c>
      <c r="E12" s="412"/>
      <c r="F12" s="412">
        <f t="shared" si="0"/>
        <v>14557.5</v>
      </c>
      <c r="G12" s="445">
        <f>63.07+51.89</f>
        <v>114.96000000000001</v>
      </c>
      <c r="H12" s="413">
        <f>H11+G12</f>
        <v>665.78000000000009</v>
      </c>
      <c r="I12" s="413">
        <f>I11-G12+E12</f>
        <v>13891.720000000001</v>
      </c>
      <c r="J12" s="414"/>
    </row>
    <row r="13" spans="1:10" s="330" customFormat="1" ht="12.75" customHeight="1" x14ac:dyDescent="0.25">
      <c r="A13" s="456" t="s">
        <v>822</v>
      </c>
      <c r="B13" s="409">
        <v>45817</v>
      </c>
      <c r="C13" s="457">
        <v>9500</v>
      </c>
      <c r="D13" s="231" t="s">
        <v>824</v>
      </c>
      <c r="E13" s="412"/>
      <c r="F13" s="412">
        <f t="shared" si="0"/>
        <v>14557.5</v>
      </c>
      <c r="G13" s="445">
        <f>73+170.5</f>
        <v>243.5</v>
      </c>
      <c r="H13" s="413">
        <f>H12+G13</f>
        <v>909.28000000000009</v>
      </c>
      <c r="I13" s="413">
        <f>I12-G13+E13</f>
        <v>13648.220000000001</v>
      </c>
      <c r="J13" s="414"/>
    </row>
    <row r="14" spans="1:10" s="330" customFormat="1" ht="12.75" customHeight="1" x14ac:dyDescent="0.25">
      <c r="A14" s="456" t="s">
        <v>942</v>
      </c>
      <c r="B14" s="409">
        <v>45848</v>
      </c>
      <c r="C14" s="457">
        <v>2507</v>
      </c>
      <c r="D14" s="458" t="s">
        <v>943</v>
      </c>
      <c r="E14" s="412"/>
      <c r="F14" s="412">
        <f t="shared" si="0"/>
        <v>14557.5</v>
      </c>
      <c r="G14" s="445">
        <f>4.66+5.61</f>
        <v>10.27</v>
      </c>
      <c r="H14" s="413">
        <f t="shared" si="1"/>
        <v>919.55000000000007</v>
      </c>
      <c r="I14" s="413">
        <f t="shared" si="2"/>
        <v>13637.95</v>
      </c>
      <c r="J14" s="414"/>
    </row>
    <row r="15" spans="1:10" s="330" customFormat="1" ht="12.75" customHeight="1" x14ac:dyDescent="0.25">
      <c r="A15" s="456" t="s">
        <v>942</v>
      </c>
      <c r="B15" s="409">
        <v>45848</v>
      </c>
      <c r="C15" s="457">
        <v>9500</v>
      </c>
      <c r="D15" s="231" t="s">
        <v>944</v>
      </c>
      <c r="E15" s="412"/>
      <c r="F15" s="412">
        <f t="shared" si="0"/>
        <v>14557.5</v>
      </c>
      <c r="G15" s="445">
        <f>7+74.8</f>
        <v>81.8</v>
      </c>
      <c r="H15" s="413">
        <f t="shared" si="1"/>
        <v>1001.35</v>
      </c>
      <c r="I15" s="413">
        <f t="shared" si="2"/>
        <v>13556.150000000001</v>
      </c>
      <c r="J15" s="414"/>
    </row>
    <row r="16" spans="1:10" s="330" customFormat="1" ht="12.75" customHeight="1" x14ac:dyDescent="0.25">
      <c r="A16" s="456" t="s">
        <v>1009</v>
      </c>
      <c r="B16" s="409">
        <v>45876</v>
      </c>
      <c r="C16" s="457">
        <v>2507</v>
      </c>
      <c r="D16" s="458" t="s">
        <v>1010</v>
      </c>
      <c r="E16" s="412"/>
      <c r="F16" s="412">
        <f t="shared" si="0"/>
        <v>14557.5</v>
      </c>
      <c r="G16" s="445">
        <f>15.58+22.96</f>
        <v>38.54</v>
      </c>
      <c r="H16" s="413">
        <f t="shared" si="1"/>
        <v>1039.8900000000001</v>
      </c>
      <c r="I16" s="413">
        <f t="shared" si="2"/>
        <v>13517.61</v>
      </c>
      <c r="J16" s="414"/>
    </row>
    <row r="17" spans="1:10" s="330" customFormat="1" ht="12.75" customHeight="1" x14ac:dyDescent="0.25">
      <c r="A17" s="456" t="s">
        <v>1009</v>
      </c>
      <c r="B17" s="409">
        <v>45876</v>
      </c>
      <c r="C17" s="457">
        <v>9500</v>
      </c>
      <c r="D17" s="231" t="s">
        <v>1011</v>
      </c>
      <c r="E17" s="412"/>
      <c r="F17" s="412">
        <f t="shared" si="0"/>
        <v>14557.5</v>
      </c>
      <c r="G17" s="445">
        <f>27+394.9</f>
        <v>421.9</v>
      </c>
      <c r="H17" s="413">
        <f t="shared" si="1"/>
        <v>1461.79</v>
      </c>
      <c r="I17" s="413">
        <f t="shared" si="2"/>
        <v>13095.710000000001</v>
      </c>
      <c r="J17" s="414"/>
    </row>
    <row r="18" spans="1:10" s="330" customFormat="1" ht="12.75" customHeight="1" x14ac:dyDescent="0.25">
      <c r="A18" s="231" t="s">
        <v>1014</v>
      </c>
      <c r="B18" s="409">
        <v>45883</v>
      </c>
      <c r="C18" s="457">
        <v>2507</v>
      </c>
      <c r="D18" s="231" t="s">
        <v>734</v>
      </c>
      <c r="E18" s="412"/>
      <c r="F18" s="412">
        <f t="shared" si="0"/>
        <v>14557.5</v>
      </c>
      <c r="G18" s="445">
        <f>23.59+33.67</f>
        <v>57.260000000000005</v>
      </c>
      <c r="H18" s="413">
        <f t="shared" si="1"/>
        <v>1519.05</v>
      </c>
      <c r="I18" s="413">
        <f t="shared" si="2"/>
        <v>13038.45</v>
      </c>
      <c r="J18" s="414"/>
    </row>
    <row r="19" spans="1:10" s="330" customFormat="1" ht="12.75" customHeight="1" x14ac:dyDescent="0.25">
      <c r="A19" s="231" t="s">
        <v>1014</v>
      </c>
      <c r="B19" s="409">
        <v>45883</v>
      </c>
      <c r="C19" s="457">
        <v>9500</v>
      </c>
      <c r="D19" s="231" t="s">
        <v>734</v>
      </c>
      <c r="E19" s="412"/>
      <c r="F19" s="412">
        <f t="shared" si="0"/>
        <v>14557.5</v>
      </c>
      <c r="G19" s="445">
        <f>40+591.8</f>
        <v>631.79999999999995</v>
      </c>
      <c r="H19" s="413">
        <f t="shared" si="1"/>
        <v>2150.85</v>
      </c>
      <c r="I19" s="413">
        <f t="shared" si="2"/>
        <v>12406.650000000001</v>
      </c>
      <c r="J19" s="414"/>
    </row>
    <row r="20" spans="1:10" s="330" customFormat="1" ht="12.75" customHeight="1" x14ac:dyDescent="0.25">
      <c r="A20" s="456" t="s">
        <v>1177</v>
      </c>
      <c r="B20" s="409">
        <v>45908</v>
      </c>
      <c r="C20" s="457">
        <v>2507</v>
      </c>
      <c r="D20" s="458" t="s">
        <v>1182</v>
      </c>
      <c r="E20" s="412"/>
      <c r="F20" s="412">
        <f t="shared" si="0"/>
        <v>14557.5</v>
      </c>
      <c r="G20" s="445">
        <f>39.17+56.62</f>
        <v>95.789999999999992</v>
      </c>
      <c r="H20" s="413">
        <f t="shared" si="1"/>
        <v>2246.64</v>
      </c>
      <c r="I20" s="413">
        <f t="shared" si="2"/>
        <v>12310.86</v>
      </c>
      <c r="J20" s="414"/>
    </row>
    <row r="21" spans="1:10" s="330" customFormat="1" ht="12.75" customHeight="1" x14ac:dyDescent="0.25">
      <c r="A21" s="456" t="s">
        <v>1177</v>
      </c>
      <c r="B21" s="409">
        <v>45908</v>
      </c>
      <c r="C21" s="457">
        <v>9500</v>
      </c>
      <c r="D21" s="231" t="s">
        <v>1181</v>
      </c>
      <c r="E21" s="412"/>
      <c r="F21" s="412">
        <f t="shared" si="0"/>
        <v>14557.5</v>
      </c>
      <c r="G21" s="445">
        <v>738.6</v>
      </c>
      <c r="H21" s="413">
        <f t="shared" si="1"/>
        <v>2985.24</v>
      </c>
      <c r="I21" s="413">
        <f t="shared" si="2"/>
        <v>11572.26</v>
      </c>
      <c r="J21" s="414"/>
    </row>
    <row r="22" spans="1:10" s="330" customFormat="1" ht="12.75" customHeight="1" x14ac:dyDescent="0.25">
      <c r="A22" s="456" t="s">
        <v>1233</v>
      </c>
      <c r="B22" s="409">
        <v>45937</v>
      </c>
      <c r="C22" s="457" t="s">
        <v>1234</v>
      </c>
      <c r="D22" s="458" t="s">
        <v>1235</v>
      </c>
      <c r="E22" s="412"/>
      <c r="F22" s="412">
        <f t="shared" si="0"/>
        <v>14557.5</v>
      </c>
      <c r="G22" s="445">
        <v>186.1</v>
      </c>
      <c r="H22" s="413">
        <f t="shared" si="1"/>
        <v>3171.3399999999997</v>
      </c>
      <c r="I22" s="413">
        <f t="shared" si="2"/>
        <v>11386.16</v>
      </c>
      <c r="J22" s="414"/>
    </row>
    <row r="23" spans="1:10" s="330" customFormat="1" ht="12.75" customHeight="1" x14ac:dyDescent="0.25">
      <c r="A23" s="456" t="s">
        <v>1233</v>
      </c>
      <c r="B23" s="409">
        <v>45937</v>
      </c>
      <c r="C23" s="457">
        <v>9500</v>
      </c>
      <c r="D23" s="231" t="s">
        <v>1236</v>
      </c>
      <c r="E23" s="412"/>
      <c r="F23" s="412">
        <f t="shared" si="0"/>
        <v>14557.5</v>
      </c>
      <c r="G23" s="445">
        <v>956.8</v>
      </c>
      <c r="H23" s="413">
        <f t="shared" si="1"/>
        <v>4128.1399999999994</v>
      </c>
      <c r="I23" s="413">
        <f t="shared" si="2"/>
        <v>10429.36</v>
      </c>
      <c r="J23" s="414"/>
    </row>
    <row r="24" spans="1:10" s="330" customFormat="1" ht="12.75" customHeight="1" x14ac:dyDescent="0.25">
      <c r="A24" s="456" t="s">
        <v>1322</v>
      </c>
      <c r="B24" s="409">
        <v>45968</v>
      </c>
      <c r="C24" s="457" t="s">
        <v>1234</v>
      </c>
      <c r="D24" s="458" t="s">
        <v>1327</v>
      </c>
      <c r="E24" s="412"/>
      <c r="F24" s="412">
        <f t="shared" si="0"/>
        <v>14557.5</v>
      </c>
      <c r="G24" s="445">
        <v>99.15</v>
      </c>
      <c r="H24" s="413">
        <f t="shared" si="1"/>
        <v>4227.2899999999991</v>
      </c>
      <c r="I24" s="413">
        <f t="shared" si="2"/>
        <v>10330.210000000001</v>
      </c>
      <c r="J24" s="414"/>
    </row>
    <row r="25" spans="1:10" s="330" customFormat="1" ht="12.75" customHeight="1" x14ac:dyDescent="0.25">
      <c r="A25" s="456" t="s">
        <v>1322</v>
      </c>
      <c r="B25" s="409">
        <v>45968</v>
      </c>
      <c r="C25" s="457">
        <v>9500</v>
      </c>
      <c r="D25" s="231" t="s">
        <v>1326</v>
      </c>
      <c r="E25" s="412"/>
      <c r="F25" s="412">
        <f t="shared" si="0"/>
        <v>14557.5</v>
      </c>
      <c r="G25" s="445">
        <v>985</v>
      </c>
      <c r="H25" s="413">
        <f t="shared" si="1"/>
        <v>5212.2899999999991</v>
      </c>
      <c r="I25" s="413">
        <f t="shared" si="2"/>
        <v>9345.2100000000009</v>
      </c>
      <c r="J25" s="414"/>
    </row>
    <row r="26" spans="1:10" s="330" customFormat="1" ht="12.75" customHeight="1" x14ac:dyDescent="0.2">
      <c r="A26" s="169" t="s">
        <v>1423</v>
      </c>
      <c r="B26" s="145">
        <v>45996</v>
      </c>
      <c r="C26" s="147" t="s">
        <v>1234</v>
      </c>
      <c r="D26" s="222" t="s">
        <v>1424</v>
      </c>
      <c r="E26" s="412"/>
      <c r="F26" s="412">
        <f t="shared" si="0"/>
        <v>14557.5</v>
      </c>
      <c r="G26" s="445">
        <v>124.7</v>
      </c>
      <c r="H26" s="413">
        <f t="shared" si="1"/>
        <v>5336.9899999999989</v>
      </c>
      <c r="I26" s="413">
        <f t="shared" si="2"/>
        <v>9220.51</v>
      </c>
      <c r="J26" s="414"/>
    </row>
    <row r="27" spans="1:10" s="330" customFormat="1" ht="12.75" customHeight="1" x14ac:dyDescent="0.2">
      <c r="A27" s="169" t="s">
        <v>1423</v>
      </c>
      <c r="B27" s="145">
        <v>45996</v>
      </c>
      <c r="C27" s="346">
        <v>9500</v>
      </c>
      <c r="D27" s="119" t="s">
        <v>1425</v>
      </c>
      <c r="E27" s="412"/>
      <c r="F27" s="412">
        <f t="shared" si="0"/>
        <v>14557.5</v>
      </c>
      <c r="G27" s="445">
        <v>792.9</v>
      </c>
      <c r="H27" s="413">
        <f t="shared" si="1"/>
        <v>6129.8899999999985</v>
      </c>
      <c r="I27" s="413">
        <f t="shared" si="2"/>
        <v>8427.61</v>
      </c>
      <c r="J27" s="414"/>
    </row>
    <row r="28" spans="1:10" s="330" customFormat="1" ht="12.75" customHeight="1" x14ac:dyDescent="0.2">
      <c r="A28" s="169" t="s">
        <v>1482</v>
      </c>
      <c r="B28" s="145">
        <v>46030</v>
      </c>
      <c r="C28" s="147" t="s">
        <v>1234</v>
      </c>
      <c r="D28" s="222" t="s">
        <v>1483</v>
      </c>
      <c r="E28" s="412"/>
      <c r="F28" s="412">
        <f t="shared" si="0"/>
        <v>14557.5</v>
      </c>
      <c r="G28" s="445">
        <v>103.22</v>
      </c>
      <c r="H28" s="413">
        <f t="shared" si="1"/>
        <v>6233.1099999999988</v>
      </c>
      <c r="I28" s="413">
        <f t="shared" si="2"/>
        <v>8324.3900000000012</v>
      </c>
      <c r="J28" s="414"/>
    </row>
    <row r="29" spans="1:10" s="330" customFormat="1" ht="12.75" customHeight="1" x14ac:dyDescent="0.2">
      <c r="A29" s="169" t="s">
        <v>1482</v>
      </c>
      <c r="B29" s="145">
        <v>46030</v>
      </c>
      <c r="C29" s="346">
        <v>9500</v>
      </c>
      <c r="D29" s="119" t="s">
        <v>1484</v>
      </c>
      <c r="E29" s="412"/>
      <c r="F29" s="412">
        <f t="shared" si="0"/>
        <v>14557.5</v>
      </c>
      <c r="G29" s="445">
        <v>1175.5</v>
      </c>
      <c r="H29" s="413">
        <f t="shared" si="1"/>
        <v>7408.6099999999988</v>
      </c>
      <c r="I29" s="413">
        <f t="shared" si="2"/>
        <v>7148.8900000000012</v>
      </c>
      <c r="J29" s="414"/>
    </row>
    <row r="30" spans="1:10" s="330" customFormat="1" ht="12.75" customHeight="1" x14ac:dyDescent="0.2">
      <c r="A30" s="169" t="s">
        <v>1545</v>
      </c>
      <c r="B30" s="145">
        <v>46062</v>
      </c>
      <c r="C30" s="147" t="s">
        <v>1234</v>
      </c>
      <c r="D30" s="222" t="s">
        <v>1546</v>
      </c>
      <c r="E30" s="412"/>
      <c r="F30" s="412">
        <f t="shared" si="0"/>
        <v>14557.5</v>
      </c>
      <c r="G30" s="445">
        <v>90.87</v>
      </c>
      <c r="H30" s="413">
        <f t="shared" si="1"/>
        <v>7499.4799999999987</v>
      </c>
      <c r="I30" s="413">
        <f t="shared" si="2"/>
        <v>7058.0200000000013</v>
      </c>
      <c r="J30" s="414"/>
    </row>
    <row r="31" spans="1:10" s="330" customFormat="1" ht="12.75" customHeight="1" x14ac:dyDescent="0.2">
      <c r="A31" s="169" t="s">
        <v>1545</v>
      </c>
      <c r="B31" s="145">
        <v>46062</v>
      </c>
      <c r="C31" s="346">
        <v>9500</v>
      </c>
      <c r="D31" s="119" t="s">
        <v>1547</v>
      </c>
      <c r="E31" s="412"/>
      <c r="F31" s="412">
        <f t="shared" si="0"/>
        <v>14557.5</v>
      </c>
      <c r="G31" s="445">
        <v>1126.9000000000001</v>
      </c>
      <c r="H31" s="413">
        <f t="shared" si="1"/>
        <v>8626.3799999999992</v>
      </c>
      <c r="I31" s="413">
        <f t="shared" si="2"/>
        <v>5931.1200000000008</v>
      </c>
      <c r="J31" s="414"/>
    </row>
    <row r="32" spans="1:10" s="330" customFormat="1" ht="12.75" customHeight="1" x14ac:dyDescent="0.25">
      <c r="A32" s="169" t="s">
        <v>1663</v>
      </c>
      <c r="B32" s="145">
        <v>46090</v>
      </c>
      <c r="C32" s="147" t="s">
        <v>1234</v>
      </c>
      <c r="D32" s="222" t="s">
        <v>1664</v>
      </c>
      <c r="E32"/>
      <c r="F32" s="412">
        <f t="shared" si="0"/>
        <v>14557.5</v>
      </c>
      <c r="G32" s="445">
        <v>103.4</v>
      </c>
      <c r="H32" s="413">
        <f t="shared" si="1"/>
        <v>8729.7799999999988</v>
      </c>
      <c r="I32" s="413">
        <f t="shared" si="2"/>
        <v>5827.7200000000012</v>
      </c>
      <c r="J32" s="414"/>
    </row>
    <row r="33" spans="1:10" s="330" customFormat="1" ht="12.75" customHeight="1" x14ac:dyDescent="0.25">
      <c r="A33" s="169" t="s">
        <v>1663</v>
      </c>
      <c r="B33" s="145">
        <v>46090</v>
      </c>
      <c r="C33" s="346">
        <v>9500</v>
      </c>
      <c r="D33" s="119" t="s">
        <v>1665</v>
      </c>
      <c r="E33"/>
      <c r="F33" s="412">
        <f t="shared" si="0"/>
        <v>14557.5</v>
      </c>
      <c r="G33" s="445">
        <v>1189.7</v>
      </c>
      <c r="H33" s="413">
        <f t="shared" si="1"/>
        <v>9919.48</v>
      </c>
      <c r="I33" s="413">
        <f t="shared" si="2"/>
        <v>4638.0200000000013</v>
      </c>
      <c r="J33" s="414"/>
    </row>
    <row r="34" spans="1:10" s="330" customFormat="1" ht="12.75" customHeight="1" x14ac:dyDescent="0.25">
      <c r="A34" s="169" t="s">
        <v>1751</v>
      </c>
      <c r="B34" s="145">
        <v>46118</v>
      </c>
      <c r="C34" s="147" t="s">
        <v>1234</v>
      </c>
      <c r="D34" s="222" t="s">
        <v>1752</v>
      </c>
      <c r="E34"/>
      <c r="F34" s="412">
        <f t="shared" si="0"/>
        <v>14557.5</v>
      </c>
      <c r="G34" s="445">
        <v>88.19</v>
      </c>
      <c r="H34" s="413">
        <f t="shared" si="1"/>
        <v>10007.67</v>
      </c>
      <c r="I34" s="413">
        <f t="shared" si="2"/>
        <v>4549.8300000000017</v>
      </c>
      <c r="J34" s="414"/>
    </row>
    <row r="35" spans="1:10" s="330" customFormat="1" ht="12.75" customHeight="1" x14ac:dyDescent="0.25">
      <c r="A35" s="169" t="s">
        <v>1751</v>
      </c>
      <c r="B35" s="145">
        <v>46118</v>
      </c>
      <c r="C35" s="346">
        <v>9500</v>
      </c>
      <c r="D35" s="119" t="s">
        <v>1753</v>
      </c>
      <c r="E35"/>
      <c r="F35" s="412">
        <f t="shared" si="0"/>
        <v>14557.5</v>
      </c>
      <c r="G35" s="445">
        <v>716.7</v>
      </c>
      <c r="H35" s="413">
        <f t="shared" si="1"/>
        <v>10724.37</v>
      </c>
      <c r="I35" s="413">
        <f t="shared" si="2"/>
        <v>3833.1300000000019</v>
      </c>
      <c r="J35" s="414"/>
    </row>
    <row r="36" spans="1:10" s="330" customFormat="1" ht="12.75" customHeight="1" x14ac:dyDescent="0.25">
      <c r="A36" s="169"/>
      <c r="B36" s="145"/>
      <c r="C36" s="346"/>
      <c r="D36" s="119"/>
      <c r="E36"/>
      <c r="F36" s="412">
        <f t="shared" si="0"/>
        <v>14557.5</v>
      </c>
      <c r="G36" s="422"/>
      <c r="H36" s="413">
        <f t="shared" si="1"/>
        <v>10724.37</v>
      </c>
      <c r="I36" s="413">
        <f t="shared" si="2"/>
        <v>3833.1300000000019</v>
      </c>
      <c r="J36" s="414"/>
    </row>
    <row r="37" spans="1:10" s="330" customFormat="1" ht="12.75" customHeight="1" x14ac:dyDescent="0.25">
      <c r="A37" s="169"/>
      <c r="B37" s="145"/>
      <c r="C37" s="346"/>
      <c r="D37" s="119"/>
      <c r="E37"/>
      <c r="F37" s="412">
        <f t="shared" si="0"/>
        <v>14557.5</v>
      </c>
      <c r="G37" s="422"/>
      <c r="H37" s="413">
        <f t="shared" si="1"/>
        <v>10724.37</v>
      </c>
      <c r="I37" s="413">
        <f t="shared" si="2"/>
        <v>3833.1300000000019</v>
      </c>
      <c r="J37" s="414"/>
    </row>
    <row r="38" spans="1:10" s="330" customFormat="1" ht="12.75" customHeight="1" x14ac:dyDescent="0.2">
      <c r="A38" s="169"/>
      <c r="B38" s="145"/>
      <c r="C38" s="346"/>
      <c r="D38" s="119"/>
      <c r="E38" s="412"/>
      <c r="F38" s="412">
        <f t="shared" si="0"/>
        <v>14557.5</v>
      </c>
      <c r="G38" s="445"/>
      <c r="H38" s="413">
        <f t="shared" si="1"/>
        <v>10724.37</v>
      </c>
      <c r="I38" s="413">
        <f t="shared" si="2"/>
        <v>3833.1300000000019</v>
      </c>
      <c r="J38" s="414"/>
    </row>
    <row r="39" spans="1:10" s="330" customFormat="1" ht="12.75" customHeight="1" x14ac:dyDescent="0.25">
      <c r="A39" s="231"/>
      <c r="B39" s="410"/>
      <c r="C39" s="457"/>
      <c r="D39" s="425"/>
      <c r="E39" s="413"/>
      <c r="F39" s="413"/>
      <c r="G39" s="413"/>
      <c r="H39" s="413"/>
      <c r="I39" s="413"/>
      <c r="J39" s="414"/>
    </row>
    <row r="40" spans="1:10" s="330" customFormat="1" ht="12.75" customHeight="1" thickBot="1" x14ac:dyDescent="0.3">
      <c r="A40" s="231"/>
      <c r="B40" s="449"/>
      <c r="C40" s="457"/>
      <c r="D40" s="450" t="s">
        <v>54</v>
      </c>
      <c r="E40" s="426">
        <f>SUM(E9:E39)</f>
        <v>14557.5</v>
      </c>
      <c r="F40" s="426"/>
      <c r="G40" s="426">
        <f>SUM(G9:G39)</f>
        <v>10724.37</v>
      </c>
      <c r="H40" s="426"/>
      <c r="I40" s="426">
        <f>E40-G40</f>
        <v>3833.1299999999992</v>
      </c>
      <c r="J40" s="414"/>
    </row>
    <row r="41" spans="1:10" s="330" customFormat="1" ht="12.75" customHeight="1" thickTop="1" x14ac:dyDescent="0.25"/>
    <row r="42" spans="1:10" s="330"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7">
    <pageSetUpPr fitToPage="1"/>
  </sheetPr>
  <dimension ref="A1:H92"/>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3.28515625" customWidth="1"/>
    <col min="6" max="6" width="14.85546875" customWidth="1"/>
    <col min="7" max="7" width="12.42578125" customWidth="1"/>
    <col min="8" max="8" width="15.42578125" customWidth="1"/>
  </cols>
  <sheetData>
    <row r="1" spans="1:8" ht="15.75" x14ac:dyDescent="0.25">
      <c r="A1" s="78" t="str">
        <f>'RECAP #9358.01'!B1</f>
        <v>ICN CC Lucas CRAC Replacement</v>
      </c>
      <c r="B1" s="79"/>
      <c r="C1" s="79"/>
      <c r="D1" s="79"/>
      <c r="E1" s="6"/>
      <c r="F1" s="6"/>
      <c r="G1" s="6"/>
      <c r="H1" s="124"/>
    </row>
    <row r="2" spans="1:8" ht="15.75" x14ac:dyDescent="0.25">
      <c r="A2" s="81" t="str">
        <f>'RECAP #9358.01'!B2</f>
        <v>Project # 9358.01</v>
      </c>
      <c r="B2" s="80"/>
      <c r="C2" s="80"/>
      <c r="D2" s="80"/>
      <c r="E2" s="6"/>
      <c r="F2" s="6"/>
      <c r="G2" s="6"/>
      <c r="H2" s="124"/>
    </row>
    <row r="3" spans="1:8" ht="15.75" x14ac:dyDescent="0.25">
      <c r="A3" s="82" t="str">
        <f>'RECAP #9358.01'!B3</f>
        <v>Program code 935801</v>
      </c>
      <c r="B3" s="80"/>
      <c r="C3" s="80"/>
      <c r="D3" s="80"/>
      <c r="E3" s="83" t="str">
        <f>'RECAP #9358.01'!E3</f>
        <v>Major Program 4F02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#9358.01'!B6</f>
        <v>Project Manager - Oliver S.</v>
      </c>
      <c r="B6" s="86"/>
      <c r="C6" s="86"/>
      <c r="D6" s="86"/>
      <c r="E6" s="83" t="s">
        <v>1370</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s="330" customFormat="1" ht="12.75" customHeight="1" x14ac:dyDescent="0.25">
      <c r="A9" s="423" t="s">
        <v>655</v>
      </c>
      <c r="B9" s="409">
        <v>45756</v>
      </c>
      <c r="C9" s="455" t="s">
        <v>321</v>
      </c>
      <c r="D9" s="455" t="s">
        <v>322</v>
      </c>
      <c r="E9" s="459" t="s">
        <v>653</v>
      </c>
      <c r="F9" s="462" t="s">
        <v>654</v>
      </c>
      <c r="G9" s="445">
        <v>558.5</v>
      </c>
      <c r="H9" s="461">
        <f>G9</f>
        <v>558.5</v>
      </c>
    </row>
    <row r="10" spans="1:8" s="330" customFormat="1" ht="12.75" customHeight="1" x14ac:dyDescent="0.25">
      <c r="A10" s="456" t="s">
        <v>656</v>
      </c>
      <c r="B10" s="409">
        <v>45756</v>
      </c>
      <c r="C10" s="457">
        <v>2507</v>
      </c>
      <c r="D10" s="425"/>
      <c r="E10" s="459" t="s">
        <v>661</v>
      </c>
      <c r="F10" s="462" t="s">
        <v>659</v>
      </c>
      <c r="G10" s="445">
        <v>182.68</v>
      </c>
      <c r="H10" s="461">
        <f>H9+G10</f>
        <v>741.18000000000006</v>
      </c>
    </row>
    <row r="11" spans="1:8" s="330" customFormat="1" ht="12.75" customHeight="1" x14ac:dyDescent="0.25">
      <c r="A11" s="456" t="s">
        <v>903</v>
      </c>
      <c r="B11" s="409">
        <v>45840</v>
      </c>
      <c r="C11" s="457">
        <v>9500</v>
      </c>
      <c r="D11" s="455" t="s">
        <v>322</v>
      </c>
      <c r="E11" s="459" t="s">
        <v>904</v>
      </c>
      <c r="F11" s="462" t="s">
        <v>905</v>
      </c>
      <c r="G11" s="445">
        <v>1200</v>
      </c>
      <c r="H11" s="461">
        <f t="shared" ref="H11:H20" si="0">H10+G11</f>
        <v>1941.18</v>
      </c>
    </row>
    <row r="12" spans="1:8" s="330" customFormat="1" ht="12.75" customHeight="1" x14ac:dyDescent="0.25">
      <c r="A12" s="456" t="s">
        <v>1177</v>
      </c>
      <c r="B12" s="409">
        <v>45908</v>
      </c>
      <c r="C12" s="457">
        <v>2507</v>
      </c>
      <c r="D12" s="409"/>
      <c r="E12" s="459" t="s">
        <v>1815</v>
      </c>
      <c r="F12" s="462" t="s">
        <v>1178</v>
      </c>
      <c r="G12" s="445">
        <v>171.43</v>
      </c>
      <c r="H12" s="461">
        <f t="shared" si="0"/>
        <v>2112.61</v>
      </c>
    </row>
    <row r="13" spans="1:8" s="330" customFormat="1" ht="12.75" customHeight="1" x14ac:dyDescent="0.25">
      <c r="A13" s="456" t="s">
        <v>1224</v>
      </c>
      <c r="B13" s="409">
        <v>45933</v>
      </c>
      <c r="C13" s="457">
        <v>9500</v>
      </c>
      <c r="D13" s="455" t="s">
        <v>322</v>
      </c>
      <c r="E13" s="459" t="s">
        <v>1226</v>
      </c>
      <c r="F13" s="462" t="s">
        <v>1225</v>
      </c>
      <c r="G13" s="445">
        <v>900</v>
      </c>
      <c r="H13" s="461">
        <f t="shared" si="0"/>
        <v>3012.61</v>
      </c>
    </row>
    <row r="14" spans="1:8" s="330" customFormat="1" ht="12.75" customHeight="1" x14ac:dyDescent="0.25">
      <c r="A14" s="456" t="s">
        <v>1368</v>
      </c>
      <c r="B14" s="409">
        <v>45981</v>
      </c>
      <c r="C14" s="457">
        <v>9500</v>
      </c>
      <c r="D14" s="455" t="s">
        <v>322</v>
      </c>
      <c r="E14" s="459" t="s">
        <v>1367</v>
      </c>
      <c r="F14" s="462" t="s">
        <v>1369</v>
      </c>
      <c r="G14" s="445">
        <v>625.71</v>
      </c>
      <c r="H14" s="461">
        <f t="shared" si="0"/>
        <v>3638.32</v>
      </c>
    </row>
    <row r="15" spans="1:8" s="330" customFormat="1" ht="12.75" customHeight="1" x14ac:dyDescent="0.25">
      <c r="A15" s="456" t="s">
        <v>1705</v>
      </c>
      <c r="B15" s="409">
        <v>46100</v>
      </c>
      <c r="C15" s="457">
        <v>9500</v>
      </c>
      <c r="D15" s="455" t="s">
        <v>322</v>
      </c>
      <c r="E15" s="459" t="s">
        <v>1706</v>
      </c>
      <c r="F15" s="381" t="s">
        <v>1704</v>
      </c>
      <c r="G15" s="445">
        <v>936.8</v>
      </c>
      <c r="H15" s="461">
        <f t="shared" si="0"/>
        <v>4575.12</v>
      </c>
    </row>
    <row r="16" spans="1:8" s="330" customFormat="1" ht="12.75" customHeight="1" x14ac:dyDescent="0.25">
      <c r="A16" s="455"/>
      <c r="B16" s="409"/>
      <c r="C16" s="409"/>
      <c r="D16" s="409"/>
      <c r="E16" s="459"/>
      <c r="F16" s="463"/>
      <c r="G16" s="461"/>
      <c r="H16" s="461">
        <f t="shared" si="0"/>
        <v>4575.12</v>
      </c>
    </row>
    <row r="17" spans="1:8" s="330" customFormat="1" ht="12.75" customHeight="1" x14ac:dyDescent="0.25">
      <c r="A17" s="408"/>
      <c r="B17" s="409"/>
      <c r="C17" s="409"/>
      <c r="D17" s="409"/>
      <c r="E17" s="459"/>
      <c r="F17" s="463"/>
      <c r="G17" s="461"/>
      <c r="H17" s="461">
        <f t="shared" si="0"/>
        <v>4575.12</v>
      </c>
    </row>
    <row r="18" spans="1:8" s="330" customFormat="1" ht="12.75" customHeight="1" x14ac:dyDescent="0.25">
      <c r="A18" s="408"/>
      <c r="B18" s="409"/>
      <c r="C18" s="409"/>
      <c r="D18" s="409"/>
      <c r="E18" s="459"/>
      <c r="F18" s="463"/>
      <c r="G18" s="461"/>
      <c r="H18" s="461">
        <f t="shared" si="0"/>
        <v>4575.12</v>
      </c>
    </row>
    <row r="19" spans="1:8" s="330" customFormat="1" ht="12.75" customHeight="1" x14ac:dyDescent="0.25">
      <c r="A19" s="408"/>
      <c r="B19" s="409"/>
      <c r="C19" s="409"/>
      <c r="D19" s="409"/>
      <c r="E19" s="459"/>
      <c r="F19" s="463"/>
      <c r="G19" s="461"/>
      <c r="H19" s="461">
        <f t="shared" si="0"/>
        <v>4575.12</v>
      </c>
    </row>
    <row r="20" spans="1:8" s="330" customFormat="1" ht="12.75" customHeight="1" x14ac:dyDescent="0.25">
      <c r="A20" s="408"/>
      <c r="B20" s="409"/>
      <c r="C20" s="409"/>
      <c r="D20" s="409"/>
      <c r="E20" s="459"/>
      <c r="F20" s="463"/>
      <c r="G20" s="461"/>
      <c r="H20" s="461">
        <f t="shared" si="0"/>
        <v>4575.12</v>
      </c>
    </row>
    <row r="21" spans="1:8" s="330" customFormat="1" ht="12.75" customHeight="1" x14ac:dyDescent="0.25">
      <c r="A21" s="408"/>
      <c r="B21" s="425"/>
      <c r="C21" s="425"/>
      <c r="D21" s="425"/>
      <c r="E21" s="459"/>
      <c r="F21" s="461"/>
      <c r="G21" s="459"/>
      <c r="H21" s="461"/>
    </row>
    <row r="22" spans="1:8" s="330" customFormat="1" ht="12.75" customHeight="1" thickBot="1" x14ac:dyDescent="0.3">
      <c r="A22" s="465"/>
      <c r="B22" s="424"/>
      <c r="C22" s="424"/>
      <c r="D22" s="424"/>
      <c r="E22" s="466" t="s">
        <v>54</v>
      </c>
      <c r="F22" s="467"/>
      <c r="G22" s="426">
        <f>SUM(G9:G21)</f>
        <v>4575.12</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8">
    <tabColor rgb="FF0070C0"/>
    <pageSetUpPr fitToPage="1"/>
  </sheetPr>
  <dimension ref="A1:J151"/>
  <sheetViews>
    <sheetView tabSelected="1" zoomScaleNormal="100" workbookViewId="0">
      <selection activeCell="C38" sqref="C38"/>
    </sheetView>
  </sheetViews>
  <sheetFormatPr defaultColWidth="11.42578125" defaultRowHeight="15" customHeight="1" x14ac:dyDescent="0.25"/>
  <cols>
    <col min="1" max="1" width="24.5703125" style="282" customWidth="1"/>
    <col min="2" max="2" width="9.42578125" style="282" customWidth="1"/>
    <col min="3" max="3" width="30.57031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12.5703125" style="282" customWidth="1"/>
    <col min="10" max="10" width="7" style="282" customWidth="1"/>
    <col min="11" max="16384" width="11.42578125" style="282"/>
  </cols>
  <sheetData>
    <row r="1" spans="1:10" ht="15.75" x14ac:dyDescent="0.25">
      <c r="A1" s="109" t="str">
        <f>'RECAP #9358.01'!B1</f>
        <v>ICN CC Lucas CRAC Replacement</v>
      </c>
      <c r="B1" s="109"/>
      <c r="C1" s="179"/>
      <c r="D1" s="179"/>
      <c r="E1" s="179"/>
      <c r="F1" s="180"/>
      <c r="G1" s="180"/>
      <c r="H1" s="181"/>
      <c r="I1" s="181"/>
      <c r="J1" s="181"/>
    </row>
    <row r="2" spans="1:10" ht="15.75" x14ac:dyDescent="0.25">
      <c r="A2" s="126" t="str">
        <f>'RECAP #9358.01'!B2</f>
        <v>Project # 9358.01</v>
      </c>
      <c r="B2" s="182"/>
      <c r="C2" s="179"/>
      <c r="D2" s="179"/>
      <c r="E2" s="179"/>
      <c r="F2" s="180"/>
      <c r="G2" s="180"/>
      <c r="H2" s="181"/>
      <c r="I2" s="181"/>
      <c r="J2" s="181"/>
    </row>
    <row r="3" spans="1:10" ht="15.75" x14ac:dyDescent="0.25">
      <c r="A3" s="183" t="str">
        <f>'RECAP #9358.01'!B3</f>
        <v>Program code 935801</v>
      </c>
      <c r="B3" s="182"/>
      <c r="C3" s="179"/>
      <c r="D3" s="184" t="str">
        <f>'RECAP #9358.01'!E3</f>
        <v>Major Program 4F02</v>
      </c>
      <c r="E3" s="179"/>
      <c r="F3" s="180"/>
      <c r="G3" s="180"/>
      <c r="H3" s="181"/>
      <c r="I3" s="181"/>
      <c r="J3" s="181"/>
    </row>
    <row r="4" spans="1:10" ht="15.75" x14ac:dyDescent="0.25">
      <c r="A4" s="109" t="s">
        <v>128</v>
      </c>
      <c r="B4" s="126"/>
      <c r="C4" s="181"/>
      <c r="D4" s="185" t="s">
        <v>129</v>
      </c>
      <c r="E4" s="180"/>
      <c r="F4" s="180"/>
      <c r="G4" s="180"/>
      <c r="H4" s="181"/>
      <c r="I4" s="181"/>
      <c r="J4" s="181"/>
    </row>
    <row r="5" spans="1:10" ht="15.75" x14ac:dyDescent="0.25">
      <c r="A5" s="186" t="s">
        <v>109</v>
      </c>
      <c r="B5" s="181"/>
      <c r="C5" s="187"/>
      <c r="D5" s="132" t="s">
        <v>125</v>
      </c>
      <c r="E5" s="137"/>
      <c r="F5" s="180"/>
      <c r="G5" s="180"/>
      <c r="H5" s="181"/>
      <c r="I5" s="181"/>
      <c r="J5" s="181"/>
    </row>
    <row r="6" spans="1:10" ht="15.75" x14ac:dyDescent="0.25">
      <c r="A6" s="126" t="str">
        <f>'RECAP #9358.01'!B6</f>
        <v>Project Manager - Oliver S.</v>
      </c>
      <c r="B6" s="126"/>
      <c r="C6" s="188"/>
      <c r="D6" s="189" t="s">
        <v>112</v>
      </c>
      <c r="E6" s="137"/>
      <c r="F6" s="138"/>
      <c r="G6" s="180"/>
      <c r="H6" s="181"/>
      <c r="I6" s="181"/>
      <c r="J6" s="181"/>
    </row>
    <row r="7" spans="1:10" ht="15.75" x14ac:dyDescent="0.25">
      <c r="A7" s="181"/>
      <c r="B7" s="190"/>
      <c r="C7" s="190"/>
      <c r="D7" s="181"/>
      <c r="E7" s="138"/>
      <c r="F7" s="138"/>
      <c r="G7" s="180"/>
      <c r="H7" s="181"/>
      <c r="I7" s="181" t="s">
        <v>3</v>
      </c>
      <c r="J7" s="181"/>
    </row>
    <row r="8" spans="1:10" ht="32.25" thickBot="1" x14ac:dyDescent="0.3">
      <c r="A8" s="191" t="s">
        <v>49</v>
      </c>
      <c r="B8" s="192" t="s">
        <v>4</v>
      </c>
      <c r="C8" s="193" t="s">
        <v>11</v>
      </c>
      <c r="D8" s="194" t="s">
        <v>50</v>
      </c>
      <c r="E8" s="194" t="s">
        <v>51</v>
      </c>
      <c r="F8" s="194" t="s">
        <v>52</v>
      </c>
      <c r="G8" s="194" t="s">
        <v>53</v>
      </c>
      <c r="H8" s="194" t="s">
        <v>12</v>
      </c>
      <c r="I8" s="194" t="s">
        <v>261</v>
      </c>
      <c r="J8" s="181"/>
    </row>
    <row r="9" spans="1:10" s="361" customFormat="1" ht="12.75" customHeight="1" x14ac:dyDescent="0.25">
      <c r="A9" s="499" t="s">
        <v>130</v>
      </c>
      <c r="B9" s="500">
        <v>45510</v>
      </c>
      <c r="C9" s="501" t="s">
        <v>107</v>
      </c>
      <c r="D9" s="404">
        <v>402364</v>
      </c>
      <c r="E9" s="502">
        <f>D9</f>
        <v>402364</v>
      </c>
      <c r="F9" s="503"/>
      <c r="G9" s="503"/>
      <c r="H9" s="503">
        <f>E9</f>
        <v>402364</v>
      </c>
      <c r="I9" s="504"/>
      <c r="J9" s="504"/>
    </row>
    <row r="10" spans="1:10" s="361" customFormat="1" ht="12.75" customHeight="1" x14ac:dyDescent="0.25">
      <c r="A10" s="499" t="s">
        <v>537</v>
      </c>
      <c r="B10" s="365">
        <v>45708</v>
      </c>
      <c r="C10" s="501" t="s">
        <v>538</v>
      </c>
      <c r="D10" s="502"/>
      <c r="E10" s="502">
        <f t="shared" ref="E10:E29" si="0">E9+D10</f>
        <v>402364</v>
      </c>
      <c r="F10" s="406">
        <v>19309.7</v>
      </c>
      <c r="G10" s="503">
        <f t="shared" ref="G10:G29" si="1">G9+F10</f>
        <v>19309.7</v>
      </c>
      <c r="H10" s="503">
        <f t="shared" ref="H10:H29" si="2">H9-F10+D10</f>
        <v>383054.3</v>
      </c>
      <c r="I10" s="406">
        <f>1016.3</f>
        <v>1016.3</v>
      </c>
      <c r="J10" s="504"/>
    </row>
    <row r="11" spans="1:10" s="361" customFormat="1" ht="12.75" customHeight="1" x14ac:dyDescent="0.25">
      <c r="A11" s="499" t="s">
        <v>130</v>
      </c>
      <c r="B11" s="500">
        <v>45709</v>
      </c>
      <c r="C11" s="501" t="s">
        <v>301</v>
      </c>
      <c r="D11" s="404">
        <v>1351</v>
      </c>
      <c r="E11" s="502">
        <f t="shared" si="0"/>
        <v>403715</v>
      </c>
      <c r="F11" s="406"/>
      <c r="G11" s="503">
        <f t="shared" si="1"/>
        <v>19309.7</v>
      </c>
      <c r="H11" s="503">
        <f t="shared" si="2"/>
        <v>384405.3</v>
      </c>
      <c r="I11" s="406"/>
      <c r="J11" s="504"/>
    </row>
    <row r="12" spans="1:10" s="361" customFormat="1" ht="12.75" customHeight="1" x14ac:dyDescent="0.25">
      <c r="A12" s="499" t="s">
        <v>130</v>
      </c>
      <c r="B12" s="500">
        <v>45733</v>
      </c>
      <c r="C12" s="501" t="s">
        <v>403</v>
      </c>
      <c r="D12" s="404">
        <v>2752.32</v>
      </c>
      <c r="E12" s="502">
        <f t="shared" si="0"/>
        <v>406467.32</v>
      </c>
      <c r="F12" s="406"/>
      <c r="G12" s="503">
        <f t="shared" si="1"/>
        <v>19309.7</v>
      </c>
      <c r="H12" s="503">
        <f t="shared" si="2"/>
        <v>387157.62</v>
      </c>
      <c r="I12" s="406"/>
      <c r="J12" s="504"/>
    </row>
    <row r="13" spans="1:10" s="361" customFormat="1" ht="12.75" customHeight="1" x14ac:dyDescent="0.25">
      <c r="A13" s="499" t="s">
        <v>617</v>
      </c>
      <c r="B13" s="500">
        <v>45749</v>
      </c>
      <c r="C13" s="501" t="s">
        <v>618</v>
      </c>
      <c r="D13" s="502"/>
      <c r="E13" s="502">
        <f t="shared" si="0"/>
        <v>406467.32</v>
      </c>
      <c r="F13" s="406">
        <v>14950.15</v>
      </c>
      <c r="G13" s="503">
        <f t="shared" si="1"/>
        <v>34259.85</v>
      </c>
      <c r="H13" s="503">
        <f t="shared" si="2"/>
        <v>372207.47</v>
      </c>
      <c r="I13" s="406">
        <f>I10+786.85</f>
        <v>1803.15</v>
      </c>
      <c r="J13" s="504"/>
    </row>
    <row r="14" spans="1:10" s="361" customFormat="1" ht="12.75" customHeight="1" x14ac:dyDescent="0.25">
      <c r="A14" s="499" t="s">
        <v>130</v>
      </c>
      <c r="B14" s="500">
        <v>45750</v>
      </c>
      <c r="C14" s="501" t="s">
        <v>625</v>
      </c>
      <c r="D14" s="404">
        <v>7909</v>
      </c>
      <c r="E14" s="502">
        <f t="shared" si="0"/>
        <v>414376.32</v>
      </c>
      <c r="F14" s="406"/>
      <c r="G14" s="503">
        <f t="shared" si="1"/>
        <v>34259.85</v>
      </c>
      <c r="H14" s="503">
        <f t="shared" si="2"/>
        <v>380116.47</v>
      </c>
      <c r="I14" s="406"/>
      <c r="J14" s="504"/>
    </row>
    <row r="15" spans="1:10" s="361" customFormat="1" ht="12.75" customHeight="1" x14ac:dyDescent="0.25">
      <c r="A15" s="499" t="s">
        <v>649</v>
      </c>
      <c r="B15" s="500">
        <v>45756</v>
      </c>
      <c r="C15" s="501" t="s">
        <v>650</v>
      </c>
      <c r="D15" s="502"/>
      <c r="E15" s="502">
        <f t="shared" si="0"/>
        <v>414376.32</v>
      </c>
      <c r="F15" s="406">
        <v>151959.45000000001</v>
      </c>
      <c r="G15" s="503">
        <f t="shared" si="1"/>
        <v>186219.30000000002</v>
      </c>
      <c r="H15" s="503">
        <f t="shared" si="2"/>
        <v>228157.01999999996</v>
      </c>
      <c r="I15" s="406">
        <f>I13+7997.87</f>
        <v>9801.02</v>
      </c>
      <c r="J15" s="504"/>
    </row>
    <row r="16" spans="1:10" s="361" customFormat="1" ht="12.75" customHeight="1" x14ac:dyDescent="0.25">
      <c r="A16" s="499" t="s">
        <v>745</v>
      </c>
      <c r="B16" s="500">
        <v>45789</v>
      </c>
      <c r="C16" s="501" t="s">
        <v>746</v>
      </c>
      <c r="D16" s="502"/>
      <c r="E16" s="502">
        <f t="shared" si="0"/>
        <v>414376.32</v>
      </c>
      <c r="F16" s="406">
        <v>86649.88</v>
      </c>
      <c r="G16" s="503">
        <f t="shared" si="1"/>
        <v>272869.18000000005</v>
      </c>
      <c r="H16" s="503">
        <f t="shared" si="2"/>
        <v>141507.13999999996</v>
      </c>
      <c r="I16" s="406">
        <f>I15+4560.52</f>
        <v>14361.54</v>
      </c>
      <c r="J16" s="504"/>
    </row>
    <row r="17" spans="1:10" s="361" customFormat="1" ht="12.75" customHeight="1" x14ac:dyDescent="0.25">
      <c r="A17" s="499" t="s">
        <v>130</v>
      </c>
      <c r="B17" s="500">
        <v>45798</v>
      </c>
      <c r="C17" s="501" t="s">
        <v>771</v>
      </c>
      <c r="D17" s="404">
        <v>2367.75</v>
      </c>
      <c r="E17" s="502">
        <f t="shared" si="0"/>
        <v>416744.07</v>
      </c>
      <c r="F17" s="406"/>
      <c r="G17" s="503">
        <f t="shared" si="1"/>
        <v>272869.18000000005</v>
      </c>
      <c r="H17" s="503">
        <f t="shared" si="2"/>
        <v>143874.88999999996</v>
      </c>
      <c r="I17" s="406"/>
      <c r="J17" s="504"/>
    </row>
    <row r="18" spans="1:10" s="361" customFormat="1" ht="12.75" customHeight="1" x14ac:dyDescent="0.25">
      <c r="A18" s="499" t="s">
        <v>828</v>
      </c>
      <c r="B18" s="500">
        <v>45818</v>
      </c>
      <c r="C18" s="501" t="s">
        <v>829</v>
      </c>
      <c r="D18" s="502"/>
      <c r="E18" s="502">
        <f t="shared" si="0"/>
        <v>416744.07</v>
      </c>
      <c r="F18" s="406">
        <v>14127.22</v>
      </c>
      <c r="G18" s="503">
        <f t="shared" si="1"/>
        <v>286996.40000000002</v>
      </c>
      <c r="H18" s="503">
        <f t="shared" si="2"/>
        <v>129747.66999999995</v>
      </c>
      <c r="I18" s="406">
        <f>I16+743.53</f>
        <v>15105.070000000002</v>
      </c>
      <c r="J18" s="504"/>
    </row>
    <row r="19" spans="1:10" s="361" customFormat="1" ht="12.75" customHeight="1" x14ac:dyDescent="0.25">
      <c r="A19" s="505" t="s">
        <v>908</v>
      </c>
      <c r="B19" s="532">
        <v>45840</v>
      </c>
      <c r="C19" s="507" t="s">
        <v>909</v>
      </c>
      <c r="D19" s="508"/>
      <c r="E19" s="508">
        <f t="shared" si="0"/>
        <v>416744.07</v>
      </c>
      <c r="F19" s="509">
        <v>27417</v>
      </c>
      <c r="G19" s="510">
        <f t="shared" si="1"/>
        <v>314413.40000000002</v>
      </c>
      <c r="H19" s="510">
        <f t="shared" si="2"/>
        <v>102330.66999999995</v>
      </c>
      <c r="I19" s="509">
        <f>I18+1443</f>
        <v>16548.07</v>
      </c>
      <c r="J19" s="511" t="s">
        <v>1015</v>
      </c>
    </row>
    <row r="20" spans="1:10" s="361" customFormat="1" ht="12.75" customHeight="1" x14ac:dyDescent="0.25">
      <c r="A20" s="499" t="s">
        <v>1040</v>
      </c>
      <c r="B20" s="500">
        <v>45890</v>
      </c>
      <c r="C20" s="501" t="s">
        <v>1017</v>
      </c>
      <c r="D20" s="512">
        <v>0</v>
      </c>
      <c r="E20" s="502">
        <f t="shared" si="0"/>
        <v>416744.07</v>
      </c>
      <c r="F20" s="503"/>
      <c r="G20" s="503">
        <f t="shared" si="1"/>
        <v>314413.40000000002</v>
      </c>
      <c r="H20" s="503">
        <f t="shared" si="2"/>
        <v>102330.66999999995</v>
      </c>
      <c r="I20" s="406"/>
      <c r="J20" s="580"/>
    </row>
    <row r="21" spans="1:10" s="361" customFormat="1" ht="12.75" customHeight="1" x14ac:dyDescent="0.25">
      <c r="A21" s="499" t="s">
        <v>1065</v>
      </c>
      <c r="B21" s="500">
        <v>45897</v>
      </c>
      <c r="C21" s="501" t="s">
        <v>1066</v>
      </c>
      <c r="D21" s="502"/>
      <c r="E21" s="502">
        <f t="shared" si="0"/>
        <v>416744.07</v>
      </c>
      <c r="F21" s="406">
        <v>2955.45</v>
      </c>
      <c r="G21" s="503">
        <f t="shared" si="1"/>
        <v>317368.85000000003</v>
      </c>
      <c r="H21" s="503">
        <f t="shared" si="2"/>
        <v>99375.219999999958</v>
      </c>
      <c r="I21" s="406">
        <f>I19+155.55</f>
        <v>16703.62</v>
      </c>
      <c r="J21" s="504"/>
    </row>
    <row r="22" spans="1:10" s="361" customFormat="1" ht="12.75" customHeight="1" x14ac:dyDescent="0.25">
      <c r="A22" s="499" t="s">
        <v>1040</v>
      </c>
      <c r="B22" s="500">
        <v>45911</v>
      </c>
      <c r="C22" s="501" t="s">
        <v>280</v>
      </c>
      <c r="D22" s="512">
        <v>1861.3</v>
      </c>
      <c r="E22" s="502">
        <f t="shared" si="0"/>
        <v>418605.37</v>
      </c>
      <c r="F22" s="406"/>
      <c r="G22" s="503">
        <f t="shared" si="1"/>
        <v>317368.85000000003</v>
      </c>
      <c r="H22" s="503">
        <f t="shared" si="2"/>
        <v>101236.51999999996</v>
      </c>
      <c r="I22" s="406"/>
      <c r="J22" s="504"/>
    </row>
    <row r="23" spans="1:10" s="361" customFormat="1" ht="12.75" customHeight="1" x14ac:dyDescent="0.25">
      <c r="A23" s="499" t="s">
        <v>1127</v>
      </c>
      <c r="B23" s="500">
        <v>45915</v>
      </c>
      <c r="C23" s="501" t="s">
        <v>1128</v>
      </c>
      <c r="D23" s="502"/>
      <c r="E23" s="502">
        <f t="shared" si="0"/>
        <v>418605.37</v>
      </c>
      <c r="F23" s="406">
        <v>43790.82</v>
      </c>
      <c r="G23" s="503">
        <f t="shared" si="1"/>
        <v>361159.67000000004</v>
      </c>
      <c r="H23" s="503">
        <f t="shared" si="2"/>
        <v>57445.699999999961</v>
      </c>
      <c r="I23" s="406">
        <f>I21+2304.78</f>
        <v>19008.399999999998</v>
      </c>
      <c r="J23" s="504"/>
    </row>
    <row r="24" spans="1:10" s="361" customFormat="1" ht="12.75" customHeight="1" x14ac:dyDescent="0.25">
      <c r="A24" s="499" t="s">
        <v>1040</v>
      </c>
      <c r="B24" s="500">
        <v>45923</v>
      </c>
      <c r="C24" s="501" t="s">
        <v>1205</v>
      </c>
      <c r="D24" s="512">
        <v>0</v>
      </c>
      <c r="E24" s="502">
        <f t="shared" si="0"/>
        <v>418605.37</v>
      </c>
      <c r="F24" s="406"/>
      <c r="G24" s="503">
        <f t="shared" si="1"/>
        <v>361159.67000000004</v>
      </c>
      <c r="H24" s="503">
        <f t="shared" si="2"/>
        <v>57445.699999999961</v>
      </c>
      <c r="I24" s="406"/>
      <c r="J24" s="504"/>
    </row>
    <row r="25" spans="1:10" s="361" customFormat="1" ht="12.75" customHeight="1" x14ac:dyDescent="0.25">
      <c r="A25" s="499" t="s">
        <v>1257</v>
      </c>
      <c r="B25" s="500">
        <v>45944</v>
      </c>
      <c r="C25" s="501" t="s">
        <v>1258</v>
      </c>
      <c r="D25" s="512"/>
      <c r="E25" s="502">
        <f t="shared" si="0"/>
        <v>418605.37</v>
      </c>
      <c r="F25" s="406">
        <v>32690.73</v>
      </c>
      <c r="G25" s="503">
        <f t="shared" si="1"/>
        <v>393850.4</v>
      </c>
      <c r="H25" s="503">
        <f t="shared" si="2"/>
        <v>24754.969999999961</v>
      </c>
      <c r="I25" s="406">
        <f>I23+1720.57</f>
        <v>20728.969999999998</v>
      </c>
      <c r="J25" s="504"/>
    </row>
    <row r="26" spans="1:10" s="361" customFormat="1" ht="12.75" customHeight="1" x14ac:dyDescent="0.25">
      <c r="A26" s="499" t="s">
        <v>1344</v>
      </c>
      <c r="B26" s="500">
        <v>45975</v>
      </c>
      <c r="C26" s="501" t="s">
        <v>1345</v>
      </c>
      <c r="D26" s="512"/>
      <c r="E26" s="502">
        <f t="shared" si="0"/>
        <v>418605.37</v>
      </c>
      <c r="F26" s="406">
        <v>3824.7</v>
      </c>
      <c r="G26" s="503">
        <f t="shared" si="1"/>
        <v>397675.10000000003</v>
      </c>
      <c r="H26" s="503">
        <f t="shared" si="2"/>
        <v>20930.26999999996</v>
      </c>
      <c r="I26" s="406">
        <f>I25+201.3</f>
        <v>20930.269999999997</v>
      </c>
      <c r="J26" s="504"/>
    </row>
    <row r="27" spans="1:10" s="361" customFormat="1" ht="12.75" customHeight="1" x14ac:dyDescent="0.25">
      <c r="A27" s="499" t="s">
        <v>1522</v>
      </c>
      <c r="B27" s="500">
        <v>46048</v>
      </c>
      <c r="C27" s="501" t="s">
        <v>1523</v>
      </c>
      <c r="D27" s="512"/>
      <c r="E27" s="502">
        <f t="shared" si="0"/>
        <v>418605.37</v>
      </c>
      <c r="F27" s="406">
        <v>20930.27</v>
      </c>
      <c r="G27" s="503">
        <f t="shared" si="1"/>
        <v>418605.37000000005</v>
      </c>
      <c r="H27" s="503">
        <f t="shared" si="2"/>
        <v>-4.0017766878008842E-11</v>
      </c>
      <c r="I27" s="406"/>
      <c r="J27" s="504"/>
    </row>
    <row r="28" spans="1:10" s="361" customFormat="1" ht="12.75" customHeight="1" x14ac:dyDescent="0.25">
      <c r="A28" s="499"/>
      <c r="B28" s="500"/>
      <c r="C28" s="501"/>
      <c r="D28" s="512"/>
      <c r="E28" s="502">
        <f t="shared" si="0"/>
        <v>418605.37</v>
      </c>
      <c r="F28" s="406"/>
      <c r="G28" s="503">
        <f t="shared" si="1"/>
        <v>418605.37000000005</v>
      </c>
      <c r="H28" s="503">
        <f t="shared" si="2"/>
        <v>-4.0017766878008842E-11</v>
      </c>
      <c r="I28" s="406"/>
      <c r="J28" s="504"/>
    </row>
    <row r="29" spans="1:10" s="361" customFormat="1" ht="12.75" customHeight="1" x14ac:dyDescent="0.25">
      <c r="A29" s="499"/>
      <c r="B29" s="500"/>
      <c r="C29" s="501"/>
      <c r="D29" s="512"/>
      <c r="E29" s="502">
        <f t="shared" si="0"/>
        <v>418605.37</v>
      </c>
      <c r="F29" s="406"/>
      <c r="G29" s="503">
        <f t="shared" si="1"/>
        <v>418605.37000000005</v>
      </c>
      <c r="H29" s="503">
        <f t="shared" si="2"/>
        <v>-4.0017766878008842E-11</v>
      </c>
      <c r="I29" s="406"/>
      <c r="J29" s="504"/>
    </row>
    <row r="30" spans="1:10" s="361" customFormat="1" ht="12.75" customHeight="1" x14ac:dyDescent="0.25">
      <c r="A30" s="499"/>
      <c r="B30" s="501"/>
      <c r="C30" s="515"/>
      <c r="D30" s="503"/>
      <c r="E30" s="503"/>
      <c r="F30" s="503"/>
      <c r="G30" s="503"/>
      <c r="H30" s="503"/>
      <c r="I30" s="504"/>
      <c r="J30" s="504"/>
    </row>
    <row r="31" spans="1:10" s="361" customFormat="1" ht="12.75" customHeight="1" thickBot="1" x14ac:dyDescent="0.3">
      <c r="A31" s="499"/>
      <c r="B31" s="516"/>
      <c r="C31" s="517" t="s">
        <v>54</v>
      </c>
      <c r="D31" s="405">
        <f>SUM(D9:D30)</f>
        <v>418605.37</v>
      </c>
      <c r="E31" s="405"/>
      <c r="F31" s="405">
        <f>SUM(F9:F30)</f>
        <v>418605.37000000005</v>
      </c>
      <c r="G31" s="405"/>
      <c r="H31" s="405">
        <f>D31-F31</f>
        <v>0</v>
      </c>
      <c r="I31" s="533" t="s">
        <v>169</v>
      </c>
      <c r="J31" s="504"/>
    </row>
    <row r="32" spans="1:10" s="361" customFormat="1" ht="12.75" customHeight="1" thickTop="1" x14ac:dyDescent="0.25">
      <c r="A32" s="499"/>
      <c r="B32" s="501"/>
      <c r="C32" s="515"/>
      <c r="D32" s="503"/>
      <c r="E32" s="503"/>
      <c r="F32" s="503"/>
      <c r="G32" s="503"/>
      <c r="H32" s="503"/>
      <c r="I32" s="504"/>
      <c r="J32" s="504"/>
    </row>
    <row r="33" spans="1:10" s="361" customFormat="1" ht="12.75" customHeight="1" x14ac:dyDescent="0.25">
      <c r="A33" s="499"/>
      <c r="B33" s="501"/>
      <c r="C33" s="515"/>
      <c r="D33" s="503"/>
      <c r="E33" s="503"/>
      <c r="F33" s="503"/>
      <c r="G33" s="503"/>
      <c r="H33" s="503"/>
      <c r="I33" s="504"/>
      <c r="J33" s="504"/>
    </row>
    <row r="34" spans="1:10" s="361" customFormat="1" ht="12.75" customHeight="1" x14ac:dyDescent="0.25">
      <c r="A34" s="499" t="s">
        <v>539</v>
      </c>
      <c r="B34" s="501"/>
      <c r="C34" s="515"/>
      <c r="D34" s="503"/>
      <c r="E34" s="503"/>
      <c r="F34" s="503"/>
      <c r="G34" s="503"/>
      <c r="H34" s="503"/>
      <c r="I34" s="504"/>
      <c r="J34" s="504"/>
    </row>
    <row r="35" spans="1:10" s="361" customFormat="1" ht="12.75" customHeight="1" x14ac:dyDescent="0.25"/>
    <row r="36" spans="1:10" s="361" customFormat="1" ht="12.75" customHeight="1" x14ac:dyDescent="0.25"/>
    <row r="37" spans="1:10" s="361" customFormat="1" ht="12.75" customHeight="1" x14ac:dyDescent="0.25"/>
    <row r="38" spans="1:10" s="361" customFormat="1" ht="12.75" customHeight="1" x14ac:dyDescent="0.25"/>
    <row r="39" spans="1:10" s="361" customFormat="1" ht="12.75" customHeight="1" x14ac:dyDescent="0.25"/>
    <row r="40" spans="1:10" s="361" customFormat="1" ht="12.75" customHeight="1" x14ac:dyDescent="0.25"/>
    <row r="41" spans="1:10" s="361" customFormat="1" ht="12.75" customHeight="1" x14ac:dyDescent="0.25"/>
    <row r="42" spans="1:10" s="361" customFormat="1" ht="12.75" customHeight="1" x14ac:dyDescent="0.25"/>
    <row r="43" spans="1:10" s="361" customFormat="1" ht="12.75" customHeight="1" x14ac:dyDescent="0.25"/>
    <row r="44" spans="1:10" s="361" customFormat="1" ht="12.75" customHeight="1" x14ac:dyDescent="0.25"/>
    <row r="45" spans="1:10" s="361" customFormat="1" ht="12.75" customHeight="1" x14ac:dyDescent="0.25"/>
    <row r="46" spans="1:10" s="361" customFormat="1" ht="12.75" customHeight="1" x14ac:dyDescent="0.25"/>
    <row r="47" spans="1:10" s="361" customFormat="1" ht="12.75" customHeight="1" x14ac:dyDescent="0.25"/>
    <row r="48" spans="1:10" s="361" customFormat="1" ht="12.75" customHeight="1" x14ac:dyDescent="0.25"/>
    <row r="49" s="361" customFormat="1" ht="12.75" customHeight="1" x14ac:dyDescent="0.25"/>
    <row r="50" s="361" customFormat="1" ht="12.75" customHeight="1" x14ac:dyDescent="0.25"/>
    <row r="51" s="361" customFormat="1" ht="12.75" customHeight="1" x14ac:dyDescent="0.25"/>
    <row r="52" s="361" customFormat="1" ht="12.75" customHeight="1" x14ac:dyDescent="0.25"/>
    <row r="53" s="361" customFormat="1" ht="12.75" customHeight="1" x14ac:dyDescent="0.25"/>
    <row r="54" s="361" customFormat="1" ht="12.75" customHeight="1" x14ac:dyDescent="0.25"/>
    <row r="55" s="361" customFormat="1" ht="12.75" customHeight="1" x14ac:dyDescent="0.25"/>
    <row r="56" s="361" customFormat="1" ht="12.75" customHeight="1" x14ac:dyDescent="0.25"/>
    <row r="57" s="361" customFormat="1" ht="12.75" customHeight="1" x14ac:dyDescent="0.25"/>
    <row r="58" s="361" customFormat="1" ht="12.75" customHeight="1" x14ac:dyDescent="0.25"/>
    <row r="59" s="361" customFormat="1" ht="12.75" customHeight="1" x14ac:dyDescent="0.25"/>
    <row r="60" s="361" customFormat="1" ht="12.75" customHeight="1" x14ac:dyDescent="0.25"/>
    <row r="61" s="361" customFormat="1" ht="12.75" customHeight="1" x14ac:dyDescent="0.25"/>
    <row r="62" s="361" customFormat="1" ht="12.75" customHeight="1" x14ac:dyDescent="0.25"/>
    <row r="63" s="361" customFormat="1" ht="12.75" customHeight="1" x14ac:dyDescent="0.25"/>
    <row r="64" s="361" customFormat="1" ht="12.75" customHeight="1" x14ac:dyDescent="0.25"/>
    <row r="65" s="361" customFormat="1" ht="12.75" customHeight="1" x14ac:dyDescent="0.25"/>
    <row r="66" s="361" customFormat="1" ht="12.75" customHeight="1" x14ac:dyDescent="0.25"/>
    <row r="67" s="361" customFormat="1" ht="12.75" customHeight="1" x14ac:dyDescent="0.25"/>
    <row r="68" s="361" customFormat="1" ht="12.75" customHeight="1" x14ac:dyDescent="0.25"/>
    <row r="69" s="361" customFormat="1" ht="12.75" customHeight="1" x14ac:dyDescent="0.25"/>
    <row r="70" s="361" customFormat="1" ht="12.75" customHeight="1" x14ac:dyDescent="0.25"/>
    <row r="71" s="361" customFormat="1" ht="12.75" customHeight="1" x14ac:dyDescent="0.25"/>
    <row r="72" s="361" customFormat="1" ht="12.75" customHeight="1" x14ac:dyDescent="0.25"/>
    <row r="73" s="361" customFormat="1" ht="12.75" customHeight="1" x14ac:dyDescent="0.25"/>
    <row r="74" s="361" customFormat="1" ht="12.75" customHeight="1" x14ac:dyDescent="0.25"/>
    <row r="75" s="361" customFormat="1" ht="12.75" customHeight="1" x14ac:dyDescent="0.25"/>
    <row r="76" s="361" customFormat="1" ht="12.75" customHeight="1" x14ac:dyDescent="0.25"/>
    <row r="77" s="361" customFormat="1" ht="12.75" customHeight="1" x14ac:dyDescent="0.25"/>
    <row r="78" s="361" customFormat="1" ht="12.75" customHeight="1" x14ac:dyDescent="0.25"/>
    <row r="79" s="361" customFormat="1" ht="12.75" customHeight="1" x14ac:dyDescent="0.25"/>
    <row r="80" s="361" customFormat="1" ht="12.75" customHeight="1" x14ac:dyDescent="0.25"/>
    <row r="81" s="361" customFormat="1" ht="12.75" customHeight="1" x14ac:dyDescent="0.25"/>
    <row r="82" s="361" customFormat="1" ht="12.75" customHeight="1" x14ac:dyDescent="0.25"/>
    <row r="83" s="361" customFormat="1" ht="12.75" customHeight="1" x14ac:dyDescent="0.25"/>
    <row r="84" s="361" customFormat="1" ht="12.75" customHeight="1" x14ac:dyDescent="0.25"/>
    <row r="85" s="361" customFormat="1" ht="12.75" customHeight="1" x14ac:dyDescent="0.25"/>
    <row r="86" s="361" customFormat="1" ht="12.75" customHeight="1" x14ac:dyDescent="0.25"/>
    <row r="87" s="361" customFormat="1" ht="12.75" customHeight="1" x14ac:dyDescent="0.25"/>
    <row r="88" s="361" customFormat="1" ht="12.75" customHeight="1" x14ac:dyDescent="0.25"/>
    <row r="89" s="361" customFormat="1" ht="12.75" customHeight="1" x14ac:dyDescent="0.25"/>
    <row r="90" s="361" customFormat="1" ht="12.75" customHeight="1" x14ac:dyDescent="0.25"/>
    <row r="91" s="361" customFormat="1" ht="12.75" customHeight="1" x14ac:dyDescent="0.25"/>
    <row r="92" s="361" customFormat="1" ht="12.75" customHeight="1" x14ac:dyDescent="0.25"/>
    <row r="93" s="361" customFormat="1" ht="12.75" customHeight="1" x14ac:dyDescent="0.25"/>
    <row r="94" s="361" customFormat="1" ht="12.75" customHeight="1" x14ac:dyDescent="0.25"/>
    <row r="95" s="361" customFormat="1" ht="12.75" customHeight="1" x14ac:dyDescent="0.25"/>
    <row r="96" s="361" customFormat="1" ht="12.75" customHeight="1" x14ac:dyDescent="0.25"/>
    <row r="97" s="361" customFormat="1" ht="12.75" customHeight="1" x14ac:dyDescent="0.25"/>
    <row r="98" s="361" customFormat="1" ht="12.75" customHeight="1" x14ac:dyDescent="0.25"/>
    <row r="99" s="361" customFormat="1" ht="12.75" customHeight="1" x14ac:dyDescent="0.25"/>
    <row r="100" s="361" customFormat="1" ht="12.75" customHeight="1" x14ac:dyDescent="0.25"/>
    <row r="101" s="361" customFormat="1" ht="12.75" customHeight="1" x14ac:dyDescent="0.25"/>
    <row r="102" s="361" customFormat="1" ht="12.75" customHeight="1" x14ac:dyDescent="0.25"/>
    <row r="103" s="361" customFormat="1" ht="12.75" customHeight="1" x14ac:dyDescent="0.25"/>
    <row r="104" s="361" customFormat="1" ht="12.75" customHeight="1" x14ac:dyDescent="0.25"/>
    <row r="105" s="361" customFormat="1" ht="12.75" customHeight="1" x14ac:dyDescent="0.25"/>
    <row r="106" s="361" customFormat="1" ht="12.75" customHeight="1" x14ac:dyDescent="0.25"/>
    <row r="107" s="361" customFormat="1" ht="12.75" customHeight="1" x14ac:dyDescent="0.25"/>
    <row r="108" s="361" customFormat="1" ht="12.75" customHeight="1" x14ac:dyDescent="0.25"/>
    <row r="109" s="361" customFormat="1" ht="12.75" customHeight="1" x14ac:dyDescent="0.25"/>
    <row r="110" s="361" customFormat="1" ht="12.75" customHeight="1" x14ac:dyDescent="0.25"/>
    <row r="111" s="361" customFormat="1" ht="12.75" customHeight="1" x14ac:dyDescent="0.25"/>
    <row r="112" s="361" customFormat="1" ht="12.75" customHeight="1" x14ac:dyDescent="0.25"/>
    <row r="113" s="361" customFormat="1" ht="12.75" customHeight="1" x14ac:dyDescent="0.25"/>
    <row r="114" s="361" customFormat="1" ht="12.75" customHeight="1" x14ac:dyDescent="0.25"/>
    <row r="115" s="361" customFormat="1" ht="12.75" customHeight="1" x14ac:dyDescent="0.25"/>
    <row r="116" s="361" customFormat="1" ht="12.75" customHeight="1" x14ac:dyDescent="0.25"/>
    <row r="117" s="361" customFormat="1" ht="12.75" customHeight="1" x14ac:dyDescent="0.25"/>
    <row r="118" s="361" customFormat="1" ht="12.75" customHeight="1" x14ac:dyDescent="0.25"/>
    <row r="119" s="361" customFormat="1" ht="12.75" customHeight="1" x14ac:dyDescent="0.25"/>
    <row r="120" s="361" customFormat="1" ht="12.75" customHeight="1" x14ac:dyDescent="0.25"/>
    <row r="121" s="361" customFormat="1" ht="12.75" customHeight="1" x14ac:dyDescent="0.25"/>
    <row r="122" s="361" customFormat="1" ht="12.75" customHeight="1" x14ac:dyDescent="0.25"/>
    <row r="123" s="361" customFormat="1" ht="12.75" customHeight="1" x14ac:dyDescent="0.25"/>
    <row r="124" s="361" customFormat="1" ht="12.75" customHeight="1" x14ac:dyDescent="0.25"/>
    <row r="125" s="361" customFormat="1" ht="12.75" customHeight="1" x14ac:dyDescent="0.25"/>
    <row r="126" s="361" customFormat="1" ht="12.75" customHeight="1" x14ac:dyDescent="0.25"/>
    <row r="127" s="361" customFormat="1" ht="12.75" customHeight="1" x14ac:dyDescent="0.25"/>
    <row r="128" s="361" customFormat="1" ht="12.75" customHeight="1" x14ac:dyDescent="0.25"/>
    <row r="129" s="361" customFormat="1" ht="12.75" customHeight="1" x14ac:dyDescent="0.25"/>
    <row r="130" s="361" customFormat="1" ht="12.75" customHeight="1" x14ac:dyDescent="0.25"/>
    <row r="131" s="361" customFormat="1" ht="12.75" customHeight="1" x14ac:dyDescent="0.25"/>
    <row r="132" s="361" customFormat="1" ht="12.75" customHeight="1" x14ac:dyDescent="0.25"/>
    <row r="133" s="361" customFormat="1" ht="12.75" customHeight="1" x14ac:dyDescent="0.25"/>
    <row r="134" s="361" customFormat="1" ht="12.75" customHeight="1" x14ac:dyDescent="0.25"/>
    <row r="135" s="361" customFormat="1" ht="12.75" customHeight="1" x14ac:dyDescent="0.25"/>
    <row r="136" s="361" customFormat="1" ht="12.75" customHeight="1" x14ac:dyDescent="0.25"/>
    <row r="137" s="361" customFormat="1" ht="12.75" customHeight="1" x14ac:dyDescent="0.25"/>
    <row r="138" s="361" customFormat="1" ht="12.75" customHeight="1" x14ac:dyDescent="0.25"/>
    <row r="139" s="361" customFormat="1" ht="12.75" customHeight="1" x14ac:dyDescent="0.25"/>
    <row r="140" s="361" customFormat="1" ht="12.75" customHeight="1" x14ac:dyDescent="0.25"/>
    <row r="141" s="361" customFormat="1" ht="12.75" customHeight="1" x14ac:dyDescent="0.25"/>
    <row r="142" s="361" customFormat="1" ht="12.75" customHeight="1" x14ac:dyDescent="0.25"/>
    <row r="143" s="361" customFormat="1" ht="12.75" customHeight="1" x14ac:dyDescent="0.25"/>
    <row r="144" s="361" customFormat="1" ht="12.75" customHeight="1" x14ac:dyDescent="0.25"/>
    <row r="145" s="361" customFormat="1" ht="12.75" customHeight="1" x14ac:dyDescent="0.25"/>
    <row r="146" s="361" customFormat="1" ht="12.75" customHeight="1" x14ac:dyDescent="0.25"/>
    <row r="147" s="361" customFormat="1" ht="12.75" customHeight="1" x14ac:dyDescent="0.25"/>
    <row r="148" s="361" customFormat="1" ht="12.75" customHeight="1" x14ac:dyDescent="0.25"/>
    <row r="149" s="361" customFormat="1" ht="12.75" customHeight="1" x14ac:dyDescent="0.25"/>
    <row r="150" s="361" customFormat="1" ht="12.75" customHeight="1" x14ac:dyDescent="0.25"/>
    <row r="151" s="361"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A1:I29"/>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#9239.02'!B1</f>
        <v>DOC-NCF-IPI Homes or Iowa Facility Project Phase II(Warehouse)</v>
      </c>
      <c r="B1" s="109"/>
      <c r="C1" s="179"/>
      <c r="D1" s="179"/>
      <c r="E1" s="179"/>
      <c r="F1" s="180"/>
      <c r="G1" s="180"/>
      <c r="H1" s="181"/>
      <c r="I1" s="181"/>
    </row>
    <row r="2" spans="1:9" ht="15.75" x14ac:dyDescent="0.25">
      <c r="A2" s="126" t="str">
        <f>'RECAP #9239.02'!B2</f>
        <v>Project # 9239.02</v>
      </c>
      <c r="B2" s="182"/>
      <c r="C2" s="179"/>
      <c r="D2" s="179"/>
      <c r="E2" s="179"/>
      <c r="F2" s="180"/>
      <c r="G2" s="180"/>
      <c r="H2" s="181"/>
      <c r="I2" s="181"/>
    </row>
    <row r="3" spans="1:9" ht="15.75" x14ac:dyDescent="0.25">
      <c r="A3" s="183" t="str">
        <f>'RECAP #9239.02'!B3</f>
        <v>Program code 923902</v>
      </c>
      <c r="B3" s="182"/>
      <c r="C3" s="179"/>
      <c r="D3" s="184" t="str">
        <f>'RECAP #9239.02'!E3</f>
        <v>Major Program 4B01</v>
      </c>
      <c r="E3" s="179"/>
      <c r="F3" s="180"/>
      <c r="G3" s="180"/>
      <c r="H3" s="181"/>
      <c r="I3" s="181"/>
    </row>
    <row r="4" spans="1:9" ht="15.75" x14ac:dyDescent="0.25">
      <c r="A4" s="109" t="s">
        <v>520</v>
      </c>
      <c r="B4" s="126"/>
      <c r="C4" s="181"/>
      <c r="D4" s="185" t="s">
        <v>521</v>
      </c>
      <c r="E4" s="180"/>
      <c r="F4" s="180"/>
      <c r="G4" s="180"/>
      <c r="H4" s="181"/>
      <c r="I4" s="181"/>
    </row>
    <row r="5" spans="1:9" ht="15.75" x14ac:dyDescent="0.25">
      <c r="A5" s="186" t="s">
        <v>143</v>
      </c>
      <c r="B5" s="181"/>
      <c r="C5" s="187"/>
      <c r="D5" s="132" t="s">
        <v>522</v>
      </c>
      <c r="E5" s="137"/>
      <c r="F5" s="180"/>
      <c r="G5" s="180"/>
      <c r="H5" s="181"/>
      <c r="I5" s="181"/>
    </row>
    <row r="6" spans="1:9" ht="15.75" x14ac:dyDescent="0.25">
      <c r="A6" s="126" t="str">
        <f>'RECAP #9239.02'!B6</f>
        <v>Project Manager - Brad T.</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523</v>
      </c>
      <c r="B9" s="500">
        <v>45688</v>
      </c>
      <c r="C9" s="501" t="s">
        <v>107</v>
      </c>
      <c r="D9" s="404">
        <v>15540</v>
      </c>
      <c r="E9" s="502">
        <f>D9</f>
        <v>15540</v>
      </c>
      <c r="F9" s="503"/>
      <c r="G9" s="503"/>
      <c r="H9" s="503">
        <f>E9</f>
        <v>15540</v>
      </c>
      <c r="I9" s="503"/>
    </row>
    <row r="10" spans="1:9" s="330" customFormat="1" ht="12.75" customHeight="1" x14ac:dyDescent="0.25">
      <c r="A10" s="499" t="s">
        <v>585</v>
      </c>
      <c r="B10" s="365">
        <v>45737</v>
      </c>
      <c r="C10" s="501" t="s">
        <v>586</v>
      </c>
      <c r="D10" s="502"/>
      <c r="E10" s="502">
        <f t="shared" ref="E10:E21" si="0">E9+D10</f>
        <v>15540</v>
      </c>
      <c r="F10" s="406">
        <v>7250</v>
      </c>
      <c r="G10" s="503">
        <f t="shared" ref="G10:G21" si="1">G9+F10</f>
        <v>7250</v>
      </c>
      <c r="H10" s="503">
        <f t="shared" ref="H10:H21" si="2">H9-F10+D10</f>
        <v>8290</v>
      </c>
      <c r="I10" s="503"/>
    </row>
    <row r="11" spans="1:9" s="330" customFormat="1" ht="12.75" customHeight="1" x14ac:dyDescent="0.25">
      <c r="A11" s="499" t="s">
        <v>747</v>
      </c>
      <c r="B11" s="500">
        <v>45790</v>
      </c>
      <c r="C11" s="501" t="s">
        <v>748</v>
      </c>
      <c r="D11" s="502"/>
      <c r="E11" s="502">
        <f t="shared" si="0"/>
        <v>15540</v>
      </c>
      <c r="F11" s="406">
        <v>8290</v>
      </c>
      <c r="G11" s="503">
        <f t="shared" si="1"/>
        <v>15540</v>
      </c>
      <c r="H11" s="503">
        <f t="shared" si="2"/>
        <v>0</v>
      </c>
      <c r="I11" s="503"/>
    </row>
    <row r="12" spans="1:9" s="330" customFormat="1" ht="12.75" customHeight="1" x14ac:dyDescent="0.25">
      <c r="A12" s="499"/>
      <c r="B12" s="500"/>
      <c r="C12" s="501"/>
      <c r="D12" s="502"/>
      <c r="E12" s="502">
        <f t="shared" si="0"/>
        <v>15540</v>
      </c>
      <c r="F12" s="406"/>
      <c r="G12" s="503">
        <f t="shared" si="1"/>
        <v>15540</v>
      </c>
      <c r="H12" s="503">
        <f t="shared" si="2"/>
        <v>0</v>
      </c>
      <c r="I12" s="503"/>
    </row>
    <row r="13" spans="1:9" s="330" customFormat="1" ht="12.75" customHeight="1" x14ac:dyDescent="0.25">
      <c r="A13" s="499"/>
      <c r="B13" s="500"/>
      <c r="C13" s="501"/>
      <c r="D13" s="502"/>
      <c r="E13" s="502">
        <f t="shared" si="0"/>
        <v>15540</v>
      </c>
      <c r="F13" s="406"/>
      <c r="G13" s="503">
        <f t="shared" si="1"/>
        <v>15540</v>
      </c>
      <c r="H13" s="503">
        <f t="shared" si="2"/>
        <v>0</v>
      </c>
      <c r="I13" s="503"/>
    </row>
    <row r="14" spans="1:9" s="330" customFormat="1" ht="12.75" customHeight="1" x14ac:dyDescent="0.25">
      <c r="A14" s="499"/>
      <c r="B14" s="500"/>
      <c r="C14" s="501"/>
      <c r="D14" s="502"/>
      <c r="E14" s="502">
        <f t="shared" si="0"/>
        <v>15540</v>
      </c>
      <c r="F14" s="503"/>
      <c r="G14" s="503">
        <f t="shared" si="1"/>
        <v>15540</v>
      </c>
      <c r="H14" s="503">
        <f t="shared" si="2"/>
        <v>0</v>
      </c>
      <c r="I14" s="503"/>
    </row>
    <row r="15" spans="1:9" s="330" customFormat="1" ht="12.75" customHeight="1" x14ac:dyDescent="0.25">
      <c r="A15" s="499"/>
      <c r="B15" s="500"/>
      <c r="C15" s="501"/>
      <c r="D15" s="502"/>
      <c r="E15" s="502">
        <f t="shared" si="0"/>
        <v>15540</v>
      </c>
      <c r="F15" s="406"/>
      <c r="G15" s="503">
        <f t="shared" si="1"/>
        <v>15540</v>
      </c>
      <c r="H15" s="503">
        <f t="shared" si="2"/>
        <v>0</v>
      </c>
      <c r="I15" s="503"/>
    </row>
    <row r="16" spans="1:9" s="330" customFormat="1" ht="12.75" customHeight="1" x14ac:dyDescent="0.25">
      <c r="A16" s="499"/>
      <c r="B16" s="500"/>
      <c r="C16" s="501"/>
      <c r="D16" s="502"/>
      <c r="E16" s="502">
        <f t="shared" si="0"/>
        <v>15540</v>
      </c>
      <c r="F16" s="406"/>
      <c r="G16" s="503">
        <f t="shared" si="1"/>
        <v>15540</v>
      </c>
      <c r="H16" s="503">
        <f t="shared" si="2"/>
        <v>0</v>
      </c>
      <c r="I16" s="503"/>
    </row>
    <row r="17" spans="1:9" s="330" customFormat="1" ht="12.75" customHeight="1" x14ac:dyDescent="0.25">
      <c r="A17" s="499"/>
      <c r="B17" s="500"/>
      <c r="C17" s="501"/>
      <c r="D17" s="502"/>
      <c r="E17" s="502">
        <f t="shared" si="0"/>
        <v>15540</v>
      </c>
      <c r="F17" s="406"/>
      <c r="G17" s="503">
        <f t="shared" si="1"/>
        <v>15540</v>
      </c>
      <c r="H17" s="503">
        <f t="shared" si="2"/>
        <v>0</v>
      </c>
      <c r="I17" s="503"/>
    </row>
    <row r="18" spans="1:9" s="330" customFormat="1" ht="12.75" customHeight="1" x14ac:dyDescent="0.25">
      <c r="A18" s="499"/>
      <c r="B18" s="500"/>
      <c r="C18" s="501"/>
      <c r="D18" s="502"/>
      <c r="E18" s="502">
        <f t="shared" si="0"/>
        <v>15540</v>
      </c>
      <c r="F18" s="406"/>
      <c r="G18" s="503">
        <f t="shared" si="1"/>
        <v>15540</v>
      </c>
      <c r="H18" s="503">
        <f t="shared" si="2"/>
        <v>0</v>
      </c>
      <c r="I18" s="503"/>
    </row>
    <row r="19" spans="1:9" s="330" customFormat="1" ht="12.75" customHeight="1" x14ac:dyDescent="0.25">
      <c r="A19" s="499"/>
      <c r="B19" s="500"/>
      <c r="C19" s="501"/>
      <c r="D19" s="502"/>
      <c r="E19" s="502">
        <f t="shared" si="0"/>
        <v>15540</v>
      </c>
      <c r="F19" s="503"/>
      <c r="G19" s="503">
        <f t="shared" si="1"/>
        <v>15540</v>
      </c>
      <c r="H19" s="503">
        <f t="shared" si="2"/>
        <v>0</v>
      </c>
      <c r="I19" s="503"/>
    </row>
    <row r="20" spans="1:9" s="330" customFormat="1" ht="12.75" customHeight="1" x14ac:dyDescent="0.25">
      <c r="A20" s="499"/>
      <c r="B20" s="500"/>
      <c r="C20" s="501"/>
      <c r="D20" s="502"/>
      <c r="E20" s="502">
        <f t="shared" si="0"/>
        <v>15540</v>
      </c>
      <c r="F20" s="503"/>
      <c r="G20" s="503">
        <f t="shared" si="1"/>
        <v>15540</v>
      </c>
      <c r="H20" s="503">
        <f t="shared" si="2"/>
        <v>0</v>
      </c>
      <c r="I20" s="503"/>
    </row>
    <row r="21" spans="1:9" s="330" customFormat="1" ht="12.75" customHeight="1" x14ac:dyDescent="0.25">
      <c r="A21" s="499"/>
      <c r="B21" s="500"/>
      <c r="C21" s="514"/>
      <c r="D21" s="502"/>
      <c r="E21" s="502">
        <f t="shared" si="0"/>
        <v>15540</v>
      </c>
      <c r="F21" s="503"/>
      <c r="G21" s="503">
        <f t="shared" si="1"/>
        <v>15540</v>
      </c>
      <c r="H21" s="503">
        <f t="shared" si="2"/>
        <v>0</v>
      </c>
      <c r="I21" s="503"/>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15540</v>
      </c>
      <c r="E23" s="405"/>
      <c r="F23" s="405">
        <f>SUM(F9:F22)</f>
        <v>15540</v>
      </c>
      <c r="G23" s="405"/>
      <c r="H23" s="405">
        <f>D23-F23</f>
        <v>0</v>
      </c>
      <c r="I23" s="533" t="s">
        <v>169</v>
      </c>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9">
    <tabColor rgb="FF0070C0"/>
    <pageSetUpPr fitToPage="1"/>
  </sheetPr>
  <dimension ref="A1:N94"/>
  <sheetViews>
    <sheetView tabSelected="1" topLeftCell="A8"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8.5703125" customWidth="1"/>
    <col min="4" max="4" width="14.42578125" customWidth="1"/>
    <col min="5" max="5" width="13.5703125" customWidth="1"/>
    <col min="6" max="6" width="12.42578125" customWidth="1"/>
    <col min="7" max="7" width="10.5703125" customWidth="1"/>
    <col min="8" max="8" width="12.28515625" customWidth="1"/>
    <col min="9" max="9" width="6.140625" customWidth="1"/>
  </cols>
  <sheetData>
    <row r="1" spans="1:9" ht="15.75" x14ac:dyDescent="0.25">
      <c r="A1" s="78" t="str">
        <f>'RECAP #9358.01'!B1</f>
        <v>ICN CC Lucas CRAC Replacement</v>
      </c>
      <c r="B1" s="79"/>
      <c r="C1" s="6"/>
      <c r="D1" s="6"/>
      <c r="E1" s="6"/>
      <c r="F1" s="124"/>
      <c r="G1" s="124"/>
      <c r="H1" s="125"/>
      <c r="I1" s="125"/>
    </row>
    <row r="2" spans="1:9" ht="15.75" x14ac:dyDescent="0.25">
      <c r="A2" s="81" t="str">
        <f>'RECAP #9358.01'!B2</f>
        <v>Project # 9358.01</v>
      </c>
      <c r="B2" s="80"/>
      <c r="C2" s="6"/>
      <c r="D2" s="6"/>
      <c r="E2" s="6"/>
      <c r="F2" s="124"/>
      <c r="G2" s="124"/>
      <c r="H2" s="125"/>
      <c r="I2" s="125"/>
    </row>
    <row r="3" spans="1:9" ht="15.75" x14ac:dyDescent="0.25">
      <c r="A3" s="82" t="str">
        <f>'RECAP #9358.01'!B3</f>
        <v>Program code 935801</v>
      </c>
      <c r="B3" s="80"/>
      <c r="C3" s="6"/>
      <c r="D3" s="83" t="str">
        <f>'RECAP #9358.01'!E3</f>
        <v>Major Program 4F02</v>
      </c>
      <c r="E3" s="6"/>
      <c r="F3" s="124"/>
      <c r="G3" s="124"/>
      <c r="H3" s="125"/>
      <c r="I3" s="125"/>
    </row>
    <row r="4" spans="1:9" ht="15.75" x14ac:dyDescent="0.25">
      <c r="A4" s="109" t="s">
        <v>151</v>
      </c>
      <c r="B4" s="126"/>
      <c r="C4" s="127"/>
      <c r="D4" s="128" t="s">
        <v>152</v>
      </c>
      <c r="E4" s="124"/>
      <c r="F4" s="124"/>
      <c r="G4" s="124"/>
      <c r="H4" s="125"/>
      <c r="I4" s="125"/>
    </row>
    <row r="5" spans="1:9" ht="15.75" x14ac:dyDescent="0.25">
      <c r="A5" s="129" t="s">
        <v>109</v>
      </c>
      <c r="B5" s="130"/>
      <c r="C5" s="131"/>
      <c r="D5" s="132" t="s">
        <v>153</v>
      </c>
      <c r="E5" s="133"/>
      <c r="F5" s="134"/>
      <c r="G5" s="134"/>
      <c r="H5" s="130"/>
      <c r="I5" s="125"/>
    </row>
    <row r="6" spans="1:9" ht="15.75" x14ac:dyDescent="0.25">
      <c r="A6" s="86" t="str">
        <f>'RECAP #9358.01'!B6</f>
        <v>Project Manager - Oliver S.</v>
      </c>
      <c r="B6" s="86"/>
      <c r="C6" s="135"/>
      <c r="D6" s="136" t="s">
        <v>116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154</v>
      </c>
      <c r="B9" s="409">
        <v>45510</v>
      </c>
      <c r="C9" s="410" t="s">
        <v>107</v>
      </c>
      <c r="D9" s="411">
        <v>76924.679999999993</v>
      </c>
      <c r="E9" s="412">
        <f>D9</f>
        <v>76924.679999999993</v>
      </c>
      <c r="F9" s="413"/>
      <c r="G9" s="413"/>
      <c r="H9" s="413">
        <f>E9</f>
        <v>76924.679999999993</v>
      </c>
      <c r="I9" s="414"/>
    </row>
    <row r="10" spans="1:9" s="330" customFormat="1" ht="12.75" customHeight="1" x14ac:dyDescent="0.25">
      <c r="A10" s="408" t="s">
        <v>335</v>
      </c>
      <c r="B10" s="240">
        <v>45629</v>
      </c>
      <c r="C10" s="410" t="s">
        <v>827</v>
      </c>
      <c r="D10" s="412"/>
      <c r="E10" s="412">
        <f t="shared" ref="E10:E27" si="0">E9+D10</f>
        <v>76924.679999999993</v>
      </c>
      <c r="F10" s="445">
        <v>9179.4</v>
      </c>
      <c r="G10" s="413">
        <f t="shared" ref="G10:G27" si="1">G9+F10</f>
        <v>9179.4</v>
      </c>
      <c r="H10" s="413">
        <f t="shared" ref="H10:H27" si="2">H9-F10+D10</f>
        <v>67745.279999999999</v>
      </c>
      <c r="I10" s="414"/>
    </row>
    <row r="11" spans="1:9" s="330" customFormat="1" ht="12.75" customHeight="1" x14ac:dyDescent="0.25">
      <c r="A11" s="408" t="s">
        <v>365</v>
      </c>
      <c r="B11" s="409">
        <v>45646</v>
      </c>
      <c r="C11" s="410" t="s">
        <v>568</v>
      </c>
      <c r="D11" s="412"/>
      <c r="E11" s="412">
        <f t="shared" si="0"/>
        <v>76924.679999999993</v>
      </c>
      <c r="F11" s="445">
        <v>2652.46</v>
      </c>
      <c r="G11" s="413">
        <f t="shared" si="1"/>
        <v>11831.86</v>
      </c>
      <c r="H11" s="413">
        <f t="shared" si="2"/>
        <v>65092.82</v>
      </c>
      <c r="I11" s="414"/>
    </row>
    <row r="12" spans="1:9" s="330" customFormat="1" ht="12.75" customHeight="1" x14ac:dyDescent="0.25">
      <c r="A12" s="408" t="s">
        <v>513</v>
      </c>
      <c r="B12" s="409">
        <v>45705</v>
      </c>
      <c r="C12" s="410" t="s">
        <v>567</v>
      </c>
      <c r="D12" s="412"/>
      <c r="E12" s="412">
        <f t="shared" si="0"/>
        <v>76924.679999999993</v>
      </c>
      <c r="F12" s="445">
        <v>1279.51</v>
      </c>
      <c r="G12" s="413">
        <f t="shared" si="1"/>
        <v>13111.37</v>
      </c>
      <c r="H12" s="413">
        <f t="shared" si="2"/>
        <v>63813.31</v>
      </c>
      <c r="I12" s="414"/>
    </row>
    <row r="13" spans="1:9" s="330" customFormat="1" ht="12.75" customHeight="1" x14ac:dyDescent="0.25">
      <c r="A13" s="408" t="s">
        <v>565</v>
      </c>
      <c r="B13" s="409">
        <v>45727</v>
      </c>
      <c r="C13" s="410" t="s">
        <v>566</v>
      </c>
      <c r="D13" s="412"/>
      <c r="E13" s="412">
        <f t="shared" si="0"/>
        <v>76924.679999999993</v>
      </c>
      <c r="F13" s="445">
        <v>7279.42</v>
      </c>
      <c r="G13" s="413">
        <f t="shared" si="1"/>
        <v>20390.79</v>
      </c>
      <c r="H13" s="413">
        <f t="shared" si="2"/>
        <v>56533.89</v>
      </c>
      <c r="I13" s="414"/>
    </row>
    <row r="14" spans="1:9" s="330" customFormat="1" ht="12.75" customHeight="1" x14ac:dyDescent="0.25">
      <c r="A14" s="408" t="s">
        <v>651</v>
      </c>
      <c r="B14" s="409">
        <v>45756</v>
      </c>
      <c r="C14" s="410" t="s">
        <v>652</v>
      </c>
      <c r="D14" s="412"/>
      <c r="E14" s="412">
        <f t="shared" si="0"/>
        <v>76924.679999999993</v>
      </c>
      <c r="F14" s="445">
        <v>11680.78</v>
      </c>
      <c r="G14" s="413">
        <f t="shared" si="1"/>
        <v>32071.57</v>
      </c>
      <c r="H14" s="413">
        <f t="shared" si="2"/>
        <v>44853.11</v>
      </c>
      <c r="I14" s="414"/>
    </row>
    <row r="15" spans="1:9" s="330" customFormat="1" ht="12.75" customHeight="1" x14ac:dyDescent="0.25">
      <c r="A15" s="408" t="s">
        <v>739</v>
      </c>
      <c r="B15" s="409">
        <v>45789</v>
      </c>
      <c r="C15" s="410" t="s">
        <v>740</v>
      </c>
      <c r="D15" s="412"/>
      <c r="E15" s="412">
        <f t="shared" si="0"/>
        <v>76924.679999999993</v>
      </c>
      <c r="F15" s="445">
        <v>10255.549999999999</v>
      </c>
      <c r="G15" s="413">
        <f t="shared" si="1"/>
        <v>42327.119999999995</v>
      </c>
      <c r="H15" s="413">
        <f t="shared" si="2"/>
        <v>34597.56</v>
      </c>
      <c r="I15" s="414"/>
    </row>
    <row r="16" spans="1:9" s="330" customFormat="1" ht="12.75" customHeight="1" x14ac:dyDescent="0.25">
      <c r="A16" s="408" t="s">
        <v>825</v>
      </c>
      <c r="B16" s="409">
        <v>45818</v>
      </c>
      <c r="C16" s="410" t="s">
        <v>826</v>
      </c>
      <c r="D16" s="412"/>
      <c r="E16" s="412">
        <f t="shared" si="0"/>
        <v>76924.679999999993</v>
      </c>
      <c r="F16" s="445">
        <v>898.1</v>
      </c>
      <c r="G16" s="413">
        <f t="shared" si="1"/>
        <v>43225.219999999994</v>
      </c>
      <c r="H16" s="413">
        <f t="shared" si="2"/>
        <v>33699.46</v>
      </c>
      <c r="I16" s="414"/>
    </row>
    <row r="17" spans="1:14" s="330" customFormat="1" ht="12.75" customHeight="1" x14ac:dyDescent="0.25">
      <c r="A17" s="415" t="s">
        <v>930</v>
      </c>
      <c r="B17" s="480">
        <v>45846</v>
      </c>
      <c r="C17" s="417" t="s">
        <v>931</v>
      </c>
      <c r="D17" s="418"/>
      <c r="E17" s="418">
        <f t="shared" si="0"/>
        <v>76924.679999999993</v>
      </c>
      <c r="F17" s="419">
        <v>6216.65</v>
      </c>
      <c r="G17" s="420">
        <f t="shared" si="1"/>
        <v>49441.869999999995</v>
      </c>
      <c r="H17" s="420">
        <f t="shared" si="2"/>
        <v>27482.809999999998</v>
      </c>
      <c r="I17" s="421" t="s">
        <v>1015</v>
      </c>
    </row>
    <row r="18" spans="1:14" s="330" customFormat="1" ht="12.75" customHeight="1" x14ac:dyDescent="0.25">
      <c r="A18" s="408" t="s">
        <v>1041</v>
      </c>
      <c r="B18" s="409">
        <v>45890</v>
      </c>
      <c r="C18" s="410" t="s">
        <v>1017</v>
      </c>
      <c r="D18" s="494">
        <v>0</v>
      </c>
      <c r="E18" s="412">
        <f t="shared" si="0"/>
        <v>76924.679999999993</v>
      </c>
      <c r="F18" s="422"/>
      <c r="G18" s="413">
        <f t="shared" si="1"/>
        <v>49441.869999999995</v>
      </c>
      <c r="H18" s="413">
        <f t="shared" si="2"/>
        <v>27482.809999999998</v>
      </c>
      <c r="I18" s="414"/>
    </row>
    <row r="19" spans="1:14" s="330" customFormat="1" ht="12.75" customHeight="1" x14ac:dyDescent="0.25">
      <c r="A19" s="408" t="s">
        <v>1073</v>
      </c>
      <c r="B19" s="409">
        <v>45898</v>
      </c>
      <c r="C19" s="522" t="s">
        <v>1074</v>
      </c>
      <c r="D19" s="412"/>
      <c r="E19" s="412">
        <f t="shared" si="0"/>
        <v>76924.679999999993</v>
      </c>
      <c r="F19" s="445">
        <v>4470.32</v>
      </c>
      <c r="G19" s="413">
        <f t="shared" si="1"/>
        <v>53912.189999999995</v>
      </c>
      <c r="H19" s="413">
        <f t="shared" si="2"/>
        <v>23012.489999999998</v>
      </c>
      <c r="I19" s="414"/>
    </row>
    <row r="20" spans="1:14" s="330" customFormat="1" ht="12.75" customHeight="1" x14ac:dyDescent="0.25">
      <c r="A20" s="408" t="s">
        <v>1041</v>
      </c>
      <c r="B20" s="409">
        <v>45916</v>
      </c>
      <c r="C20" s="410" t="s">
        <v>301</v>
      </c>
      <c r="D20" s="494">
        <v>1936.72</v>
      </c>
      <c r="E20" s="412">
        <f t="shared" si="0"/>
        <v>78861.399999999994</v>
      </c>
      <c r="F20" s="413"/>
      <c r="G20" s="413">
        <f t="shared" si="1"/>
        <v>53912.189999999995</v>
      </c>
      <c r="H20" s="413">
        <f t="shared" si="2"/>
        <v>24949.21</v>
      </c>
      <c r="I20" s="414"/>
    </row>
    <row r="21" spans="1:14" s="330" customFormat="1" ht="12.75" customHeight="1" x14ac:dyDescent="0.25">
      <c r="A21" s="408" t="s">
        <v>1203</v>
      </c>
      <c r="B21" s="409">
        <v>45923</v>
      </c>
      <c r="C21" s="522" t="s">
        <v>1204</v>
      </c>
      <c r="D21" s="412"/>
      <c r="E21" s="412">
        <f t="shared" si="0"/>
        <v>78861.399999999994</v>
      </c>
      <c r="F21" s="445">
        <v>8674.58</v>
      </c>
      <c r="G21" s="413">
        <f t="shared" si="1"/>
        <v>62586.77</v>
      </c>
      <c r="H21" s="413">
        <f t="shared" si="2"/>
        <v>16274.63</v>
      </c>
      <c r="I21" s="414"/>
    </row>
    <row r="22" spans="1:14" s="330" customFormat="1" ht="12.75" customHeight="1" x14ac:dyDescent="0.25">
      <c r="A22" s="408" t="s">
        <v>1248</v>
      </c>
      <c r="B22" s="409">
        <v>45940</v>
      </c>
      <c r="C22" s="522" t="s">
        <v>1247</v>
      </c>
      <c r="D22" s="412"/>
      <c r="E22" s="412">
        <f t="shared" si="0"/>
        <v>78861.399999999994</v>
      </c>
      <c r="F22" s="445">
        <v>10199.82</v>
      </c>
      <c r="G22" s="413">
        <f t="shared" si="1"/>
        <v>72786.59</v>
      </c>
      <c r="H22" s="413">
        <f t="shared" si="2"/>
        <v>6074.8099999999995</v>
      </c>
      <c r="I22" s="414"/>
    </row>
    <row r="23" spans="1:14" s="330" customFormat="1" ht="12.75" customHeight="1" x14ac:dyDescent="0.25">
      <c r="A23" s="408" t="s">
        <v>1353</v>
      </c>
      <c r="B23" s="409">
        <v>45979</v>
      </c>
      <c r="C23" s="522" t="s">
        <v>1354</v>
      </c>
      <c r="D23" s="412"/>
      <c r="E23" s="412">
        <f t="shared" si="0"/>
        <v>78861.399999999994</v>
      </c>
      <c r="F23" s="445">
        <v>2915.46</v>
      </c>
      <c r="G23" s="413">
        <f t="shared" si="1"/>
        <v>75702.05</v>
      </c>
      <c r="H23" s="413">
        <f t="shared" si="2"/>
        <v>3159.3499999999995</v>
      </c>
      <c r="I23" s="414"/>
    </row>
    <row r="24" spans="1:14" s="330" customFormat="1" ht="12.75" customHeight="1" x14ac:dyDescent="0.25">
      <c r="A24" s="408" t="s">
        <v>1041</v>
      </c>
      <c r="B24" s="409">
        <v>45982</v>
      </c>
      <c r="C24" s="522" t="s">
        <v>403</v>
      </c>
      <c r="D24" s="447">
        <v>-312.85000000000002</v>
      </c>
      <c r="E24" s="412">
        <f t="shared" si="0"/>
        <v>78548.549999999988</v>
      </c>
      <c r="F24" s="445"/>
      <c r="G24" s="413">
        <f t="shared" si="1"/>
        <v>75702.05</v>
      </c>
      <c r="H24" s="413">
        <f t="shared" si="2"/>
        <v>2846.4999999999995</v>
      </c>
      <c r="I24" s="414"/>
    </row>
    <row r="25" spans="1:14" s="330" customFormat="1" ht="12.75" customHeight="1" x14ac:dyDescent="0.25">
      <c r="A25" s="408" t="s">
        <v>1041</v>
      </c>
      <c r="B25" s="409">
        <v>46133</v>
      </c>
      <c r="C25" s="522" t="s">
        <v>1800</v>
      </c>
      <c r="D25" s="447">
        <v>-3005.8</v>
      </c>
      <c r="E25" s="412">
        <f t="shared" si="0"/>
        <v>75542.749999999985</v>
      </c>
      <c r="F25" s="447"/>
      <c r="G25" s="413">
        <f t="shared" si="1"/>
        <v>75702.05</v>
      </c>
      <c r="H25" s="413">
        <f t="shared" si="2"/>
        <v>-159.30000000000064</v>
      </c>
      <c r="I25" s="414"/>
    </row>
    <row r="26" spans="1:14" s="330" customFormat="1" ht="12.75" customHeight="1" x14ac:dyDescent="0.25">
      <c r="A26" s="408" t="s">
        <v>1041</v>
      </c>
      <c r="B26" s="409">
        <v>46133</v>
      </c>
      <c r="C26" s="522" t="s">
        <v>1799</v>
      </c>
      <c r="D26" s="447"/>
      <c r="E26" s="412">
        <f t="shared" si="0"/>
        <v>75542.749999999985</v>
      </c>
      <c r="F26" s="447">
        <v>-159.30000000000001</v>
      </c>
      <c r="G26" s="413">
        <f t="shared" si="1"/>
        <v>75542.75</v>
      </c>
      <c r="H26" s="413">
        <f t="shared" si="2"/>
        <v>-6.2527760746888816E-13</v>
      </c>
      <c r="I26" s="414"/>
    </row>
    <row r="27" spans="1:14" s="330" customFormat="1" ht="12.75" customHeight="1" x14ac:dyDescent="0.25">
      <c r="A27" s="408"/>
      <c r="B27" s="409"/>
      <c r="C27" s="522"/>
      <c r="D27" s="447"/>
      <c r="E27" s="412">
        <f t="shared" si="0"/>
        <v>75542.749999999985</v>
      </c>
      <c r="F27" s="445"/>
      <c r="G27" s="413">
        <f t="shared" si="1"/>
        <v>75542.75</v>
      </c>
      <c r="H27" s="413">
        <f t="shared" si="2"/>
        <v>-6.2527760746888816E-13</v>
      </c>
      <c r="I27" s="414"/>
    </row>
    <row r="28" spans="1:14" s="330" customFormat="1" ht="12.75" customHeight="1" x14ac:dyDescent="0.25">
      <c r="A28" s="408"/>
      <c r="B28" s="410"/>
      <c r="C28" s="425"/>
      <c r="D28" s="413"/>
      <c r="E28" s="413"/>
      <c r="F28" s="413"/>
      <c r="G28" s="413"/>
      <c r="H28" s="413"/>
      <c r="I28" s="414"/>
      <c r="N28" s="522"/>
    </row>
    <row r="29" spans="1:14" s="330" customFormat="1" ht="12.75" customHeight="1" thickBot="1" x14ac:dyDescent="0.3">
      <c r="A29" s="408"/>
      <c r="B29" s="449"/>
      <c r="C29" s="450" t="s">
        <v>54</v>
      </c>
      <c r="D29" s="426">
        <f>SUM(D9:D28)</f>
        <v>75542.749999999985</v>
      </c>
      <c r="E29" s="426"/>
      <c r="F29" s="426">
        <f>SUM(F9:F28)</f>
        <v>75542.75</v>
      </c>
      <c r="G29" s="426"/>
      <c r="H29" s="426">
        <f>D29-F29</f>
        <v>0</v>
      </c>
      <c r="I29" s="491"/>
      <c r="N29" s="522"/>
    </row>
    <row r="30" spans="1:14" s="330" customFormat="1" ht="12.75" customHeight="1" thickTop="1" x14ac:dyDescent="0.25">
      <c r="A30" s="408"/>
      <c r="B30" s="410"/>
      <c r="C30" s="425"/>
      <c r="D30" s="413"/>
      <c r="E30" s="413"/>
      <c r="F30" s="413"/>
      <c r="G30" s="413"/>
      <c r="H30" s="413"/>
      <c r="I30" s="414"/>
    </row>
    <row r="31" spans="1:14" s="330" customFormat="1" ht="12.75" customHeight="1" x14ac:dyDescent="0.25">
      <c r="A31" s="408"/>
      <c r="B31" s="410"/>
      <c r="C31" s="425"/>
      <c r="D31" s="413"/>
      <c r="E31" s="413"/>
      <c r="F31" s="413"/>
      <c r="G31" s="413"/>
      <c r="H31" s="413"/>
      <c r="I31" s="414"/>
    </row>
    <row r="32" spans="1:14" s="330" customFormat="1" ht="12.75" customHeight="1" x14ac:dyDescent="0.25">
      <c r="A32" s="408"/>
      <c r="B32" s="410"/>
      <c r="C32" s="425" t="s">
        <v>155</v>
      </c>
      <c r="D32" s="413">
        <f>37726.68-318.65</f>
        <v>37408.03</v>
      </c>
      <c r="E32" s="413"/>
      <c r="F32" s="413">
        <f>5560.4+652.46+1279.51+4279.42+5820.58+6635.75+898.1+2596.85+2660.42+3244.88+2833.4+1105.56-159.3</f>
        <v>37408.029999999992</v>
      </c>
      <c r="G32" s="413"/>
      <c r="H32" s="413">
        <f>D32-F32</f>
        <v>0</v>
      </c>
      <c r="I32" s="414"/>
    </row>
    <row r="33" spans="1:9" s="330" customFormat="1" ht="12.75" customHeight="1" x14ac:dyDescent="0.25">
      <c r="A33" s="408"/>
      <c r="B33" s="410"/>
      <c r="C33" s="425" t="s">
        <v>156</v>
      </c>
      <c r="D33" s="413">
        <f>3000-3000</f>
        <v>0</v>
      </c>
      <c r="E33" s="413"/>
      <c r="F33" s="413"/>
      <c r="G33" s="413"/>
      <c r="H33" s="413">
        <f>D33-F33</f>
        <v>0</v>
      </c>
      <c r="I33" s="414"/>
    </row>
    <row r="34" spans="1:9" s="330" customFormat="1" ht="12.75" customHeight="1" x14ac:dyDescent="0.25">
      <c r="A34" s="408"/>
      <c r="B34" s="410"/>
      <c r="C34" s="425" t="s">
        <v>157</v>
      </c>
      <c r="D34" s="413">
        <v>36198</v>
      </c>
      <c r="E34" s="413"/>
      <c r="F34" s="413">
        <f>3619+2000+3000+5860.2+3619.8+3619.8+1809.9+5429.7+5429.7+1809.9</f>
        <v>36198</v>
      </c>
      <c r="G34" s="413"/>
      <c r="H34" s="413">
        <f>D34-F34</f>
        <v>0</v>
      </c>
      <c r="I34" s="414"/>
    </row>
    <row r="35" spans="1:9" s="330" customFormat="1" ht="12.75" customHeight="1" x14ac:dyDescent="0.25">
      <c r="A35" s="408"/>
      <c r="B35" s="410"/>
      <c r="C35" s="425" t="s">
        <v>301</v>
      </c>
      <c r="D35" s="413">
        <v>1936.72</v>
      </c>
      <c r="E35" s="413"/>
      <c r="F35" s="413">
        <f>1936.72</f>
        <v>1936.72</v>
      </c>
      <c r="G35" s="413"/>
      <c r="H35" s="413">
        <f>D35-F35</f>
        <v>0</v>
      </c>
      <c r="I35" s="414"/>
    </row>
    <row r="36" spans="1:9" s="330" customFormat="1" ht="12.75" customHeight="1" x14ac:dyDescent="0.25">
      <c r="A36" s="408"/>
      <c r="B36" s="410"/>
      <c r="C36" s="425" t="s">
        <v>403</v>
      </c>
      <c r="D36" s="589">
        <f>-312.85+312.85</f>
        <v>0</v>
      </c>
      <c r="E36" s="413"/>
      <c r="F36" s="413"/>
      <c r="G36" s="413"/>
      <c r="H36" s="589">
        <f>D36-F36</f>
        <v>0</v>
      </c>
      <c r="I36" s="414"/>
    </row>
    <row r="37" spans="1:9" s="330" customFormat="1" ht="12.75" customHeight="1" thickBot="1" x14ac:dyDescent="0.3">
      <c r="A37" s="408"/>
      <c r="B37" s="410"/>
      <c r="C37" s="424" t="s">
        <v>555</v>
      </c>
      <c r="D37" s="426">
        <f>SUM(D32:D36)</f>
        <v>75542.75</v>
      </c>
      <c r="E37" s="427"/>
      <c r="F37" s="426">
        <f>SUM(F32:F36)</f>
        <v>75542.75</v>
      </c>
      <c r="G37" s="427"/>
      <c r="H37" s="426">
        <f>SUM(H32:H36)</f>
        <v>0</v>
      </c>
      <c r="I37" s="414"/>
    </row>
    <row r="38" spans="1:9" s="330" customFormat="1" ht="12.75" customHeight="1" thickTop="1" x14ac:dyDescent="0.25">
      <c r="A38" s="408"/>
      <c r="B38" s="410"/>
      <c r="C38" s="425"/>
      <c r="D38" s="413"/>
      <c r="E38" s="413"/>
      <c r="F38" s="413"/>
      <c r="G38" s="413"/>
      <c r="H38" s="413"/>
      <c r="I38" s="414"/>
    </row>
    <row r="39" spans="1:9" s="330" customFormat="1" ht="12.75" customHeight="1" x14ac:dyDescent="0.25">
      <c r="A39" s="408"/>
      <c r="B39" s="410"/>
      <c r="C39" s="425"/>
      <c r="D39" s="413"/>
      <c r="E39" s="413"/>
      <c r="F39" s="413"/>
      <c r="G39" s="413"/>
      <c r="H39" s="413"/>
      <c r="I39" s="414"/>
    </row>
    <row r="40" spans="1:9" s="330" customFormat="1" ht="12.75" customHeight="1" x14ac:dyDescent="0.25">
      <c r="A40" s="499" t="s">
        <v>366</v>
      </c>
      <c r="B40" s="410"/>
      <c r="C40" s="425"/>
      <c r="D40" s="459"/>
      <c r="E40" s="408"/>
      <c r="F40" s="461"/>
      <c r="G40" s="461"/>
      <c r="H40" s="459"/>
      <c r="I40" s="414"/>
    </row>
    <row r="41" spans="1:9" s="330" customFormat="1" ht="12.75" customHeight="1" x14ac:dyDescent="0.25">
      <c r="A41" s="499" t="s">
        <v>336</v>
      </c>
      <c r="B41" s="410"/>
      <c r="C41" s="425"/>
      <c r="D41" s="459"/>
      <c r="E41" s="408"/>
      <c r="F41" s="461"/>
      <c r="G41" s="461"/>
      <c r="H41" s="459"/>
      <c r="I41" s="414"/>
    </row>
    <row r="42" spans="1:9" s="330" customFormat="1" ht="12.75" customHeight="1" x14ac:dyDescent="0.25"/>
    <row r="43" spans="1:9" s="330" customFormat="1" ht="12.75" customHeight="1" x14ac:dyDescent="0.25">
      <c r="A43" s="361" t="s">
        <v>1801</v>
      </c>
    </row>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0">
    <tabColor rgb="FF0070C0"/>
    <pageSetUpPr fitToPage="1"/>
  </sheetPr>
  <dimension ref="A1:G20"/>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97</v>
      </c>
      <c r="C1" s="109"/>
      <c r="D1" s="179"/>
      <c r="E1" s="179"/>
      <c r="F1" s="179"/>
      <c r="G1" s="179"/>
    </row>
    <row r="2" spans="1:7" ht="15.75" x14ac:dyDescent="0.25">
      <c r="A2" s="212"/>
      <c r="B2" s="126" t="s">
        <v>101</v>
      </c>
      <c r="C2" s="182"/>
      <c r="D2" s="179"/>
      <c r="E2" s="179"/>
      <c r="F2" s="179"/>
      <c r="G2" s="179"/>
    </row>
    <row r="3" spans="1:7" ht="15.75" x14ac:dyDescent="0.25">
      <c r="A3" s="212"/>
      <c r="B3" s="183" t="s">
        <v>102</v>
      </c>
      <c r="C3" s="182"/>
      <c r="D3" s="179"/>
      <c r="E3" s="184" t="s">
        <v>99</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103</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'#9360.01 Funds Recv''d'!H24</f>
        <v>142460.45000000001</v>
      </c>
      <c r="D8" s="258"/>
      <c r="E8" s="258"/>
      <c r="F8" s="258"/>
      <c r="G8" s="259"/>
    </row>
    <row r="9" spans="1:7" x14ac:dyDescent="0.25">
      <c r="A9" s="212"/>
      <c r="B9" s="182"/>
      <c r="C9" s="260"/>
      <c r="D9" s="261"/>
      <c r="E9" s="261"/>
      <c r="F9" s="261"/>
      <c r="G9" s="259"/>
    </row>
    <row r="10" spans="1:7" x14ac:dyDescent="0.25">
      <c r="A10" s="212" t="s">
        <v>170</v>
      </c>
      <c r="B10" s="182" t="s">
        <v>108</v>
      </c>
      <c r="C10" s="260"/>
      <c r="D10" s="258">
        <f>'#9360.01 Air-Con Electric'!D23</f>
        <v>116482</v>
      </c>
      <c r="E10" s="258">
        <f>'#9360.01 Air-Con Electric'!F23</f>
        <v>116482</v>
      </c>
      <c r="F10" s="258">
        <f>'#9360.01 Air-Con Electric'!H23</f>
        <v>0</v>
      </c>
      <c r="G10" s="259"/>
    </row>
    <row r="11" spans="1:7" x14ac:dyDescent="0.25">
      <c r="A11" s="212" t="s">
        <v>170</v>
      </c>
      <c r="B11" s="182" t="s">
        <v>41</v>
      </c>
      <c r="C11" s="260"/>
      <c r="D11" s="258">
        <f>'#9360.01 PM TIME'!E21</f>
        <v>3795</v>
      </c>
      <c r="E11" s="258">
        <f>'#9360.01 PM TIME'!G21</f>
        <v>3795</v>
      </c>
      <c r="F11" s="258">
        <f>'#9360.01 PM TIME'!I21</f>
        <v>0</v>
      </c>
      <c r="G11" s="259"/>
    </row>
    <row r="12" spans="1:7" x14ac:dyDescent="0.25">
      <c r="A12" s="212" t="s">
        <v>170</v>
      </c>
      <c r="B12" s="182" t="s">
        <v>42</v>
      </c>
      <c r="C12" s="261"/>
      <c r="D12" s="262">
        <f>'#9360.01 Misc'!G22</f>
        <v>0</v>
      </c>
      <c r="E12" s="262">
        <f>'#9360.01 Misc'!G22</f>
        <v>0</v>
      </c>
      <c r="F12" s="258">
        <f>D12-E12</f>
        <v>0</v>
      </c>
      <c r="G12" s="259"/>
    </row>
    <row r="13" spans="1:7" x14ac:dyDescent="0.25">
      <c r="A13" s="212" t="s">
        <v>170</v>
      </c>
      <c r="B13" s="182" t="s">
        <v>113</v>
      </c>
      <c r="C13" s="261"/>
      <c r="D13" s="262">
        <f>'#9360.01 McGough Construction'!D23</f>
        <v>15602.16</v>
      </c>
      <c r="E13" s="262">
        <f>'#9360.01 McGough Construction'!F23</f>
        <v>15602.160000000002</v>
      </c>
      <c r="F13" s="258">
        <f>'#9360.01 McGough Construction'!H23</f>
        <v>0</v>
      </c>
      <c r="G13" s="259"/>
    </row>
    <row r="14" spans="1:7" x14ac:dyDescent="0.25">
      <c r="A14" s="212" t="s">
        <v>170</v>
      </c>
      <c r="B14" s="182" t="s">
        <v>158</v>
      </c>
      <c r="C14" s="261"/>
      <c r="D14" s="262">
        <f>'#9360.01 McGough Constr (2)'!D23</f>
        <v>696.29</v>
      </c>
      <c r="E14" s="262">
        <f>'#9360.01 McGough Constr (2)'!F23</f>
        <v>696.29</v>
      </c>
      <c r="F14" s="258">
        <f>'#9360.01 McGough Constr (2)'!H23</f>
        <v>0</v>
      </c>
      <c r="G14" s="259"/>
    </row>
    <row r="15" spans="1:7" x14ac:dyDescent="0.25">
      <c r="A15" s="212" t="s">
        <v>170</v>
      </c>
      <c r="B15" s="182" t="s">
        <v>159</v>
      </c>
      <c r="C15" s="261"/>
      <c r="D15" s="262">
        <f>'#9360.01 KCL Engineering'!D23</f>
        <v>5885</v>
      </c>
      <c r="E15" s="262">
        <f>'#9360.01 KCL Engineering'!F23</f>
        <v>5885</v>
      </c>
      <c r="F15" s="258">
        <f>'#9360.01 KCL Engineering'!H23</f>
        <v>0</v>
      </c>
      <c r="G15" s="259"/>
    </row>
    <row r="16" spans="1:7" ht="13.35" customHeight="1" x14ac:dyDescent="0.25">
      <c r="A16" s="212"/>
      <c r="B16" s="182"/>
      <c r="C16" s="261"/>
      <c r="D16" s="262"/>
      <c r="E16" s="262"/>
      <c r="F16" s="258"/>
      <c r="G16" s="259"/>
    </row>
    <row r="17" spans="1:7" ht="24" customHeight="1" thickBot="1" x14ac:dyDescent="0.3">
      <c r="A17" s="263"/>
      <c r="B17" s="264" t="s">
        <v>43</v>
      </c>
      <c r="C17" s="265">
        <f>SUM(C8:C16)</f>
        <v>142460.45000000001</v>
      </c>
      <c r="D17" s="265">
        <f>SUM(D8:D16)</f>
        <v>142460.45000000001</v>
      </c>
      <c r="E17" s="265">
        <f>SUM(E8:E16)</f>
        <v>142460.45000000001</v>
      </c>
      <c r="F17" s="265">
        <f>SUM(D17-E17)</f>
        <v>0</v>
      </c>
      <c r="G17" s="265">
        <f>C17-D17</f>
        <v>0</v>
      </c>
    </row>
    <row r="18" spans="1:7" ht="13.35" customHeight="1" thickTop="1" x14ac:dyDescent="0.25">
      <c r="A18" s="212"/>
      <c r="B18" s="182"/>
      <c r="C18" s="182"/>
      <c r="D18" s="259"/>
      <c r="E18" s="259"/>
      <c r="F18" s="259"/>
      <c r="G18" s="259"/>
    </row>
    <row r="19" spans="1:7" ht="13.35" customHeight="1" x14ac:dyDescent="0.25">
      <c r="A19" s="212"/>
      <c r="B19" s="182"/>
      <c r="C19" s="182"/>
      <c r="D19" s="259"/>
      <c r="E19" s="259"/>
      <c r="F19" s="259"/>
      <c r="G19" s="259"/>
    </row>
    <row r="20" spans="1:7" ht="13.35" customHeight="1" x14ac:dyDescent="0.25">
      <c r="A20" s="212"/>
      <c r="B20" s="212" t="s">
        <v>662</v>
      </c>
      <c r="C20" s="182"/>
      <c r="D20" s="259"/>
      <c r="E20" s="259"/>
      <c r="F20" s="259"/>
      <c r="G20"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1">
    <tabColor rgb="FF0070C0"/>
    <pageSetUpPr fitToPage="1"/>
  </sheetPr>
  <dimension ref="A1:H25"/>
  <sheetViews>
    <sheetView tabSelected="1" zoomScaleNormal="100" workbookViewId="0">
      <selection activeCell="C38" sqref="C38"/>
    </sheetView>
  </sheetViews>
  <sheetFormatPr defaultColWidth="9.14062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267" t="str">
        <f>'RECAP #9360.01'!B1</f>
        <v>IPBS JOH 6450 Corporate Dr. Fire Alarm System Replacement</v>
      </c>
      <c r="B1" s="268"/>
      <c r="C1" s="269"/>
      <c r="D1" s="270"/>
      <c r="E1" s="270"/>
      <c r="F1" s="268"/>
      <c r="G1" s="268"/>
      <c r="H1" s="268"/>
    </row>
    <row r="2" spans="1:8" x14ac:dyDescent="0.25">
      <c r="A2" s="271" t="str">
        <f>'RECAP #9360.01'!B2</f>
        <v>Project # 9360.01</v>
      </c>
      <c r="B2" s="268"/>
      <c r="C2" s="272" t="s">
        <v>3</v>
      </c>
      <c r="D2" s="273"/>
      <c r="E2" s="273"/>
      <c r="F2" s="268"/>
      <c r="G2" s="268"/>
      <c r="H2" s="268"/>
    </row>
    <row r="3" spans="1:8" x14ac:dyDescent="0.25">
      <c r="A3" s="274" t="str">
        <f>'RECAP #9360.01'!B3</f>
        <v>Program code 936001</v>
      </c>
      <c r="B3" s="268"/>
      <c r="C3" s="272" t="s">
        <v>3</v>
      </c>
      <c r="D3" s="275" t="str">
        <f>'RECAP #9360.01'!E3</f>
        <v>Major Program 3E01</v>
      </c>
      <c r="E3" s="270"/>
      <c r="F3" s="268"/>
      <c r="G3" s="268"/>
      <c r="H3" s="268"/>
    </row>
    <row r="4" spans="1:8" ht="15.75" x14ac:dyDescent="0.25">
      <c r="A4" s="109" t="s">
        <v>44</v>
      </c>
      <c r="B4" s="276" t="s">
        <v>3</v>
      </c>
      <c r="C4" s="270"/>
      <c r="D4" s="270"/>
      <c r="E4" s="270"/>
      <c r="F4" s="268"/>
      <c r="G4" s="268"/>
      <c r="H4" s="268"/>
    </row>
    <row r="5" spans="1:8" x14ac:dyDescent="0.25">
      <c r="A5" s="263" t="s">
        <v>65</v>
      </c>
      <c r="B5" s="277"/>
      <c r="C5" s="278"/>
      <c r="D5" s="279"/>
      <c r="E5" s="268"/>
      <c r="F5" s="268"/>
      <c r="G5" s="268"/>
      <c r="H5" s="268"/>
    </row>
    <row r="6" spans="1:8" x14ac:dyDescent="0.25">
      <c r="A6" s="280" t="str">
        <f>'RECAP #9360.01'!B6</f>
        <v>Project Manager - Brandon A.</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x14ac:dyDescent="0.25">
      <c r="A9" s="291"/>
      <c r="B9" s="292"/>
      <c r="C9" s="293"/>
      <c r="D9" s="294" t="s">
        <v>73</v>
      </c>
      <c r="E9" s="294" t="s">
        <v>104</v>
      </c>
      <c r="F9" s="295">
        <v>45502</v>
      </c>
      <c r="G9" s="340">
        <v>175000</v>
      </c>
      <c r="H9" s="340">
        <v>175000</v>
      </c>
    </row>
    <row r="10" spans="1:8" x14ac:dyDescent="0.25">
      <c r="A10" s="291"/>
      <c r="B10" s="291"/>
      <c r="C10" s="298"/>
      <c r="D10" s="294" t="s">
        <v>663</v>
      </c>
      <c r="E10" s="291" t="s">
        <v>664</v>
      </c>
      <c r="F10" s="291">
        <v>45757</v>
      </c>
      <c r="G10" s="339">
        <v>-32539.55</v>
      </c>
      <c r="H10" s="339">
        <v>-32539.55</v>
      </c>
    </row>
    <row r="11" spans="1:8" x14ac:dyDescent="0.25">
      <c r="A11" s="300"/>
      <c r="B11" s="298"/>
      <c r="C11" s="301"/>
      <c r="D11" s="294"/>
      <c r="E11" s="282"/>
      <c r="F11" s="291"/>
      <c r="G11" s="302"/>
      <c r="H11" s="341"/>
    </row>
    <row r="12" spans="1:8" x14ac:dyDescent="0.25">
      <c r="A12" s="300"/>
      <c r="B12" s="298"/>
      <c r="C12" s="303"/>
      <c r="D12" s="294"/>
      <c r="E12" s="282"/>
      <c r="F12" s="291"/>
      <c r="G12" s="302"/>
      <c r="H12" s="341"/>
    </row>
    <row r="13" spans="1:8" x14ac:dyDescent="0.25">
      <c r="A13" s="201"/>
      <c r="B13" s="304"/>
      <c r="C13" s="303"/>
      <c r="D13" s="294"/>
      <c r="E13" s="282"/>
      <c r="F13" s="291"/>
      <c r="G13" s="305"/>
      <c r="H13" s="341"/>
    </row>
    <row r="14" spans="1:8" x14ac:dyDescent="0.25">
      <c r="A14" s="300"/>
      <c r="B14" s="277"/>
      <c r="C14" s="303"/>
      <c r="D14" s="298"/>
      <c r="E14" s="277"/>
      <c r="F14" s="291"/>
      <c r="G14" s="302"/>
      <c r="H14" s="341"/>
    </row>
    <row r="15" spans="1:8" x14ac:dyDescent="0.25">
      <c r="A15" s="300"/>
      <c r="B15" s="277"/>
      <c r="C15" s="278"/>
      <c r="D15" s="279"/>
      <c r="E15" s="304"/>
      <c r="F15" s="306"/>
      <c r="G15" s="296"/>
      <c r="H15" s="296"/>
    </row>
    <row r="16" spans="1:8" x14ac:dyDescent="0.25">
      <c r="A16" s="300"/>
      <c r="B16" s="277"/>
      <c r="C16" s="278" t="s">
        <v>3</v>
      </c>
      <c r="D16" s="279"/>
      <c r="E16" s="277"/>
      <c r="F16" s="306"/>
      <c r="G16" s="296"/>
      <c r="H16" s="296"/>
    </row>
    <row r="17" spans="1:8" x14ac:dyDescent="0.25">
      <c r="A17" s="300"/>
      <c r="B17" s="277"/>
      <c r="C17" s="278"/>
      <c r="D17" s="279"/>
      <c r="E17" s="277"/>
      <c r="F17" s="306"/>
      <c r="G17" s="307"/>
      <c r="H17" s="278"/>
    </row>
    <row r="18" spans="1:8" x14ac:dyDescent="0.25">
      <c r="A18" s="300"/>
      <c r="B18" s="266"/>
      <c r="C18" s="278"/>
      <c r="D18" s="279"/>
      <c r="E18" s="277"/>
      <c r="F18" s="306"/>
      <c r="G18" s="296"/>
      <c r="H18" s="296"/>
    </row>
    <row r="19" spans="1:8" x14ac:dyDescent="0.25">
      <c r="A19" s="300"/>
      <c r="B19" s="277"/>
      <c r="C19" s="278"/>
      <c r="D19" s="279"/>
      <c r="E19" s="277"/>
      <c r="F19" s="306"/>
      <c r="G19" s="296"/>
      <c r="H19" s="296"/>
    </row>
    <row r="20" spans="1:8" x14ac:dyDescent="0.25">
      <c r="A20" s="300"/>
      <c r="B20" s="277"/>
      <c r="C20" s="278"/>
      <c r="D20" s="279"/>
      <c r="E20" s="277"/>
      <c r="F20" s="306"/>
      <c r="G20" s="307"/>
      <c r="H20" s="278"/>
    </row>
    <row r="21" spans="1:8" x14ac:dyDescent="0.25">
      <c r="A21" s="300"/>
      <c r="B21" s="277"/>
      <c r="C21" s="278"/>
      <c r="D21" s="279"/>
      <c r="E21" s="277"/>
      <c r="F21" s="306"/>
      <c r="G21" s="307"/>
      <c r="H21" s="278"/>
    </row>
    <row r="22" spans="1:8" x14ac:dyDescent="0.25">
      <c r="A22" s="300"/>
      <c r="B22" s="277"/>
      <c r="C22" s="278"/>
      <c r="D22" s="279"/>
      <c r="E22" s="277"/>
      <c r="F22" s="300"/>
      <c r="G22" s="296"/>
      <c r="H22" s="296"/>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142460.45000000001</v>
      </c>
      <c r="H24" s="208">
        <f>SUM(H9:H23)</f>
        <v>142460.45000000001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2">
    <tabColor rgb="FF0070C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3.28515625" customWidth="1"/>
    <col min="9" max="9" width="11.710937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108</v>
      </c>
      <c r="B4" s="126"/>
      <c r="C4" s="181"/>
      <c r="D4" s="185" t="s">
        <v>110</v>
      </c>
      <c r="E4" s="180"/>
      <c r="F4" s="180"/>
      <c r="G4" s="180"/>
      <c r="H4" s="181"/>
      <c r="I4" s="181"/>
    </row>
    <row r="5" spans="1:9" ht="15.75" x14ac:dyDescent="0.25">
      <c r="A5" s="186" t="s">
        <v>109</v>
      </c>
      <c r="B5" s="181"/>
      <c r="C5" s="187"/>
      <c r="D5" s="132" t="s">
        <v>111</v>
      </c>
      <c r="E5" s="137"/>
      <c r="F5" s="180"/>
      <c r="G5" s="180"/>
      <c r="H5" s="181"/>
      <c r="I5" s="181"/>
    </row>
    <row r="6" spans="1:9" ht="15.75" x14ac:dyDescent="0.25">
      <c r="A6" s="126" t="str">
        <f>'RECAP #9360.01'!B6</f>
        <v>Project Manager - Brandon A.</v>
      </c>
      <c r="B6" s="126"/>
      <c r="C6" s="188"/>
      <c r="D6" s="189" t="s">
        <v>112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335" t="s">
        <v>261</v>
      </c>
    </row>
    <row r="9" spans="1:9" x14ac:dyDescent="0.25">
      <c r="A9" s="195" t="s">
        <v>106</v>
      </c>
      <c r="B9" s="196">
        <v>45503</v>
      </c>
      <c r="C9" s="197" t="s">
        <v>107</v>
      </c>
      <c r="D9" s="198">
        <v>114989</v>
      </c>
      <c r="E9" s="199">
        <f>D9</f>
        <v>114989</v>
      </c>
      <c r="F9" s="200"/>
      <c r="G9" s="200"/>
      <c r="H9" s="200">
        <f>E9</f>
        <v>114989</v>
      </c>
      <c r="I9" s="200"/>
    </row>
    <row r="10" spans="1:9" x14ac:dyDescent="0.25">
      <c r="A10" s="195" t="s">
        <v>259</v>
      </c>
      <c r="B10" s="201">
        <v>45567</v>
      </c>
      <c r="C10" s="197" t="s">
        <v>260</v>
      </c>
      <c r="D10" s="199"/>
      <c r="E10" s="199">
        <f t="shared" ref="E10:E21" si="0">E9+D10</f>
        <v>114989</v>
      </c>
      <c r="F10" s="203">
        <v>9397.16</v>
      </c>
      <c r="G10" s="200">
        <f t="shared" ref="G10:G21" si="1">G9+F10</f>
        <v>9397.16</v>
      </c>
      <c r="H10" s="200">
        <f t="shared" ref="H10:H21" si="2">H9-F10+D10</f>
        <v>105591.84</v>
      </c>
      <c r="I10" s="203">
        <v>494.59</v>
      </c>
    </row>
    <row r="11" spans="1:9" x14ac:dyDescent="0.25">
      <c r="A11" s="195" t="s">
        <v>106</v>
      </c>
      <c r="B11" s="196">
        <v>45600</v>
      </c>
      <c r="C11" s="197" t="s">
        <v>301</v>
      </c>
      <c r="D11" s="198">
        <v>350</v>
      </c>
      <c r="E11" s="199">
        <f t="shared" si="0"/>
        <v>115339</v>
      </c>
      <c r="F11" s="203"/>
      <c r="G11" s="200">
        <f t="shared" si="1"/>
        <v>9397.16</v>
      </c>
      <c r="H11" s="200">
        <f t="shared" si="2"/>
        <v>105941.84</v>
      </c>
      <c r="I11" s="200"/>
    </row>
    <row r="12" spans="1:9" x14ac:dyDescent="0.25">
      <c r="A12" s="195" t="s">
        <v>306</v>
      </c>
      <c r="B12" s="196">
        <v>45602</v>
      </c>
      <c r="C12" s="197" t="s">
        <v>307</v>
      </c>
      <c r="D12" s="199"/>
      <c r="E12" s="199">
        <f t="shared" si="0"/>
        <v>115339</v>
      </c>
      <c r="F12" s="203">
        <v>63434.080000000002</v>
      </c>
      <c r="G12" s="200">
        <f t="shared" si="1"/>
        <v>72831.240000000005</v>
      </c>
      <c r="H12" s="200">
        <f t="shared" si="2"/>
        <v>42507.759999999995</v>
      </c>
      <c r="I12" s="203">
        <f>I10+3338.64</f>
        <v>3833.23</v>
      </c>
    </row>
    <row r="13" spans="1:9" x14ac:dyDescent="0.25">
      <c r="A13" s="195" t="s">
        <v>354</v>
      </c>
      <c r="B13" s="196">
        <v>45642</v>
      </c>
      <c r="C13" s="197" t="s">
        <v>355</v>
      </c>
      <c r="D13" s="199"/>
      <c r="E13" s="199">
        <f t="shared" si="0"/>
        <v>115339</v>
      </c>
      <c r="F13" s="203">
        <v>24219.51</v>
      </c>
      <c r="G13" s="200">
        <f t="shared" si="1"/>
        <v>97050.75</v>
      </c>
      <c r="H13" s="200">
        <f t="shared" si="2"/>
        <v>18288.249999999996</v>
      </c>
      <c r="I13" s="203">
        <f>I12+1274.72</f>
        <v>5107.95</v>
      </c>
    </row>
    <row r="14" spans="1:9" x14ac:dyDescent="0.25">
      <c r="A14" s="195" t="s">
        <v>431</v>
      </c>
      <c r="B14" s="196">
        <v>45671</v>
      </c>
      <c r="C14" s="197" t="s">
        <v>432</v>
      </c>
      <c r="D14" s="199"/>
      <c r="E14" s="199">
        <f t="shared" si="0"/>
        <v>115339</v>
      </c>
      <c r="F14" s="203">
        <v>3455.62</v>
      </c>
      <c r="G14" s="200">
        <f t="shared" si="1"/>
        <v>100506.37</v>
      </c>
      <c r="H14" s="200">
        <f t="shared" si="2"/>
        <v>14832.629999999997</v>
      </c>
      <c r="I14" s="203">
        <f>I13+181.88</f>
        <v>5289.83</v>
      </c>
    </row>
    <row r="15" spans="1:9" x14ac:dyDescent="0.25">
      <c r="A15" s="195" t="s">
        <v>491</v>
      </c>
      <c r="B15" s="196">
        <v>45693</v>
      </c>
      <c r="C15" s="197" t="s">
        <v>492</v>
      </c>
      <c r="D15" s="199"/>
      <c r="E15" s="199">
        <f t="shared" si="0"/>
        <v>115339</v>
      </c>
      <c r="F15" s="203">
        <v>7772.71</v>
      </c>
      <c r="G15" s="200">
        <f t="shared" si="1"/>
        <v>108279.08</v>
      </c>
      <c r="H15" s="200">
        <f t="shared" si="2"/>
        <v>7059.9199999999973</v>
      </c>
      <c r="I15" s="203">
        <f>I14+409.1</f>
        <v>5698.93</v>
      </c>
    </row>
    <row r="16" spans="1:9" x14ac:dyDescent="0.25">
      <c r="A16" s="195" t="s">
        <v>106</v>
      </c>
      <c r="B16" s="196">
        <v>45706</v>
      </c>
      <c r="C16" s="197" t="s">
        <v>403</v>
      </c>
      <c r="D16" s="198">
        <v>1143</v>
      </c>
      <c r="E16" s="199">
        <f t="shared" si="0"/>
        <v>116482</v>
      </c>
      <c r="F16" s="203"/>
      <c r="G16" s="200">
        <f t="shared" si="1"/>
        <v>108279.08</v>
      </c>
      <c r="H16" s="200">
        <f t="shared" si="2"/>
        <v>8202.9199999999983</v>
      </c>
      <c r="I16" s="200"/>
    </row>
    <row r="17" spans="1:9" x14ac:dyDescent="0.25">
      <c r="A17" s="195" t="s">
        <v>545</v>
      </c>
      <c r="B17" s="196">
        <v>45712</v>
      </c>
      <c r="C17" s="197" t="s">
        <v>546</v>
      </c>
      <c r="D17" s="199"/>
      <c r="E17" s="199">
        <f t="shared" si="0"/>
        <v>116482</v>
      </c>
      <c r="F17" s="203">
        <v>1286.3900000000001</v>
      </c>
      <c r="G17" s="200">
        <f t="shared" si="1"/>
        <v>109565.47</v>
      </c>
      <c r="H17" s="200">
        <f t="shared" si="2"/>
        <v>6916.5299999999979</v>
      </c>
      <c r="I17" s="203">
        <f>I15+67.71</f>
        <v>5766.64</v>
      </c>
    </row>
    <row r="18" spans="1:9" x14ac:dyDescent="0.25">
      <c r="A18" s="195" t="s">
        <v>587</v>
      </c>
      <c r="B18" s="196">
        <v>45742</v>
      </c>
      <c r="C18" s="197" t="s">
        <v>588</v>
      </c>
      <c r="D18" s="199"/>
      <c r="E18" s="199">
        <f t="shared" si="0"/>
        <v>116482</v>
      </c>
      <c r="F18" s="203">
        <v>1092.4000000000001</v>
      </c>
      <c r="G18" s="200">
        <f t="shared" si="1"/>
        <v>110657.87</v>
      </c>
      <c r="H18" s="200">
        <f t="shared" si="2"/>
        <v>5824.1299999999974</v>
      </c>
      <c r="I18" s="203">
        <f>I17+57.49</f>
        <v>5824.13</v>
      </c>
    </row>
    <row r="19" spans="1:9" x14ac:dyDescent="0.25">
      <c r="A19" s="195" t="s">
        <v>619</v>
      </c>
      <c r="B19" s="196">
        <v>45749</v>
      </c>
      <c r="C19" s="197" t="s">
        <v>620</v>
      </c>
      <c r="D19" s="199"/>
      <c r="E19" s="199">
        <f t="shared" si="0"/>
        <v>116482</v>
      </c>
      <c r="F19" s="203">
        <v>5824.13</v>
      </c>
      <c r="G19" s="200">
        <f t="shared" si="1"/>
        <v>116482</v>
      </c>
      <c r="H19" s="200">
        <f t="shared" si="2"/>
        <v>-2.7284841053187847E-12</v>
      </c>
      <c r="I19" s="200"/>
    </row>
    <row r="20" spans="1:9" x14ac:dyDescent="0.25">
      <c r="A20" s="195"/>
      <c r="B20" s="196"/>
      <c r="C20" s="197"/>
      <c r="D20" s="199"/>
      <c r="E20" s="199">
        <f t="shared" si="0"/>
        <v>116482</v>
      </c>
      <c r="F20" s="200"/>
      <c r="G20" s="200">
        <f t="shared" si="1"/>
        <v>116482</v>
      </c>
      <c r="H20" s="200">
        <f t="shared" si="2"/>
        <v>-2.7284841053187847E-12</v>
      </c>
      <c r="I20" s="200"/>
    </row>
    <row r="21" spans="1:9" x14ac:dyDescent="0.25">
      <c r="A21" s="195"/>
      <c r="B21" s="196"/>
      <c r="C21" s="204"/>
      <c r="D21" s="199"/>
      <c r="E21" s="199">
        <f t="shared" si="0"/>
        <v>116482</v>
      </c>
      <c r="F21" s="200"/>
      <c r="G21" s="200">
        <f t="shared" si="1"/>
        <v>116482</v>
      </c>
      <c r="H21" s="200">
        <f t="shared" si="2"/>
        <v>-2.7284841053187847E-12</v>
      </c>
      <c r="I21" s="200"/>
    </row>
    <row r="22" spans="1:9" x14ac:dyDescent="0.25">
      <c r="A22" s="195"/>
      <c r="B22" s="197"/>
      <c r="C22" s="205"/>
      <c r="D22" s="200"/>
      <c r="E22" s="200"/>
      <c r="F22" s="200"/>
      <c r="G22" s="200"/>
      <c r="H22" s="200"/>
      <c r="I22" s="200"/>
    </row>
    <row r="23" spans="1:9" ht="15.75" thickBot="1" x14ac:dyDescent="0.3">
      <c r="A23" s="195"/>
      <c r="B23" s="206"/>
      <c r="C23" s="207" t="s">
        <v>54</v>
      </c>
      <c r="D23" s="208">
        <f>SUM(D9:D22)</f>
        <v>116482</v>
      </c>
      <c r="E23" s="208"/>
      <c r="F23" s="208">
        <f>SUM(F9:F22)</f>
        <v>116482</v>
      </c>
      <c r="G23" s="208"/>
      <c r="H23" s="208">
        <f>D23-F23</f>
        <v>0</v>
      </c>
      <c r="I23" s="132" t="s">
        <v>169</v>
      </c>
    </row>
    <row r="24" spans="1:9" ht="1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3">
    <tabColor rgb="FF0070C0"/>
    <pageSetUpPr fitToPage="1"/>
  </sheetPr>
  <dimension ref="A1:J30"/>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#9360.01'!B1</f>
        <v>IPBS JOH 6450 Corporate Dr. Fire Alarm System Replacement</v>
      </c>
      <c r="B1" s="109"/>
      <c r="C1" s="109"/>
      <c r="D1" s="179"/>
      <c r="E1" s="179"/>
      <c r="F1" s="179"/>
      <c r="G1" s="180"/>
      <c r="H1" s="180"/>
      <c r="I1" s="181"/>
      <c r="J1" s="181"/>
    </row>
    <row r="2" spans="1:10" ht="15.75" x14ac:dyDescent="0.25">
      <c r="A2" s="126" t="str">
        <f>'RECAP #9360.01'!B2</f>
        <v>Project # 9360.01</v>
      </c>
      <c r="B2" s="182"/>
      <c r="C2" s="182"/>
      <c r="D2" s="179"/>
      <c r="E2" s="179"/>
      <c r="F2" s="179"/>
      <c r="G2" s="180"/>
      <c r="H2" s="180"/>
      <c r="I2" s="181"/>
      <c r="J2" s="181"/>
    </row>
    <row r="3" spans="1:10" ht="15.75" x14ac:dyDescent="0.25">
      <c r="A3" s="183" t="str">
        <f>'RECAP #9360.01'!B3</f>
        <v>Program code 936001</v>
      </c>
      <c r="B3" s="182"/>
      <c r="C3" s="182"/>
      <c r="D3" s="179"/>
      <c r="E3" s="184" t="str">
        <f>'RECAP #9360.01'!E3</f>
        <v>Major Program 3E01</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#9360.01'!B6</f>
        <v>Project Manager - Brandon A.</v>
      </c>
      <c r="B6" s="126"/>
      <c r="C6" s="126"/>
      <c r="D6" s="188"/>
      <c r="E6" s="132" t="s">
        <v>121</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30" customFormat="1" ht="12.75" customHeight="1" x14ac:dyDescent="0.25">
      <c r="A9" s="563"/>
      <c r="B9" s="500"/>
      <c r="C9" s="500"/>
      <c r="D9" s="515" t="s">
        <v>92</v>
      </c>
      <c r="E9" s="404">
        <f>5000-1205</f>
        <v>3795</v>
      </c>
      <c r="F9" s="502">
        <f>E9</f>
        <v>3795</v>
      </c>
      <c r="G9" s="406"/>
      <c r="H9" s="503"/>
      <c r="I9" s="503">
        <f>F9</f>
        <v>3795</v>
      </c>
      <c r="J9" s="504"/>
    </row>
    <row r="10" spans="1:10" s="330" customFormat="1" ht="12.75" customHeight="1" x14ac:dyDescent="0.25">
      <c r="A10" s="564" t="s">
        <v>134</v>
      </c>
      <c r="B10" s="500">
        <v>45511</v>
      </c>
      <c r="C10" s="565">
        <v>9500</v>
      </c>
      <c r="D10" s="515" t="s">
        <v>136</v>
      </c>
      <c r="E10" s="502"/>
      <c r="F10" s="502">
        <f t="shared" ref="F10:F19" si="0">F9+E10</f>
        <v>3795</v>
      </c>
      <c r="G10" s="406">
        <v>440</v>
      </c>
      <c r="H10" s="503">
        <f t="shared" ref="H10:H19" si="1">H9+G10</f>
        <v>440</v>
      </c>
      <c r="I10" s="503">
        <f t="shared" ref="I10:I19" si="2">I9-G10+E10</f>
        <v>3355</v>
      </c>
      <c r="J10" s="504"/>
    </row>
    <row r="11" spans="1:10" s="330" customFormat="1" ht="12.75" customHeight="1" x14ac:dyDescent="0.25">
      <c r="A11" s="564" t="s">
        <v>217</v>
      </c>
      <c r="B11" s="500">
        <v>45544</v>
      </c>
      <c r="C11" s="565">
        <v>9500</v>
      </c>
      <c r="D11" s="515" t="s">
        <v>219</v>
      </c>
      <c r="E11" s="502"/>
      <c r="F11" s="502">
        <f t="shared" si="0"/>
        <v>3795</v>
      </c>
      <c r="G11" s="406">
        <v>275</v>
      </c>
      <c r="H11" s="503">
        <f t="shared" si="1"/>
        <v>715</v>
      </c>
      <c r="I11" s="503">
        <f t="shared" si="2"/>
        <v>3080</v>
      </c>
      <c r="J11" s="504"/>
    </row>
    <row r="12" spans="1:10" s="330" customFormat="1" ht="12.75" customHeight="1" x14ac:dyDescent="0.25">
      <c r="A12" s="564" t="s">
        <v>274</v>
      </c>
      <c r="B12" s="500">
        <v>45574</v>
      </c>
      <c r="C12" s="565">
        <v>9500</v>
      </c>
      <c r="D12" s="515" t="s">
        <v>294</v>
      </c>
      <c r="E12" s="502"/>
      <c r="F12" s="502">
        <f t="shared" si="0"/>
        <v>3795</v>
      </c>
      <c r="G12" s="406">
        <f>385</f>
        <v>385</v>
      </c>
      <c r="H12" s="503">
        <f t="shared" si="1"/>
        <v>1100</v>
      </c>
      <c r="I12" s="503">
        <f t="shared" si="2"/>
        <v>2695</v>
      </c>
      <c r="J12" s="504"/>
    </row>
    <row r="13" spans="1:10" s="330" customFormat="1" ht="12.75" customHeight="1" x14ac:dyDescent="0.25">
      <c r="A13" s="564" t="s">
        <v>314</v>
      </c>
      <c r="B13" s="500">
        <v>45603</v>
      </c>
      <c r="C13" s="565">
        <v>9500</v>
      </c>
      <c r="D13" s="515" t="s">
        <v>316</v>
      </c>
      <c r="E13" s="502"/>
      <c r="F13" s="502">
        <f t="shared" si="0"/>
        <v>3795</v>
      </c>
      <c r="G13" s="406">
        <v>385</v>
      </c>
      <c r="H13" s="503">
        <f t="shared" si="1"/>
        <v>1485</v>
      </c>
      <c r="I13" s="503">
        <f t="shared" si="2"/>
        <v>2310</v>
      </c>
      <c r="J13" s="504"/>
    </row>
    <row r="14" spans="1:10" s="330" customFormat="1" ht="12.75" customHeight="1" x14ac:dyDescent="0.25">
      <c r="A14" s="564" t="s">
        <v>343</v>
      </c>
      <c r="B14" s="351">
        <v>45635</v>
      </c>
      <c r="C14" s="357">
        <v>9500</v>
      </c>
      <c r="D14" s="352" t="s">
        <v>345</v>
      </c>
      <c r="E14" s="502"/>
      <c r="F14" s="502">
        <f t="shared" si="0"/>
        <v>3795</v>
      </c>
      <c r="G14" s="406">
        <v>247.5</v>
      </c>
      <c r="H14" s="503">
        <f t="shared" si="1"/>
        <v>1732.5</v>
      </c>
      <c r="I14" s="503">
        <f t="shared" si="2"/>
        <v>2062.5</v>
      </c>
      <c r="J14" s="504"/>
    </row>
    <row r="15" spans="1:10" s="330" customFormat="1" ht="12.75" customHeight="1" x14ac:dyDescent="0.25">
      <c r="A15" s="564" t="s">
        <v>404</v>
      </c>
      <c r="B15" s="351">
        <v>45666</v>
      </c>
      <c r="C15" s="357">
        <v>9500</v>
      </c>
      <c r="D15" s="352" t="s">
        <v>405</v>
      </c>
      <c r="E15" s="502"/>
      <c r="F15" s="502">
        <f t="shared" si="0"/>
        <v>3795</v>
      </c>
      <c r="G15" s="406">
        <f>247.5</f>
        <v>247.5</v>
      </c>
      <c r="H15" s="503">
        <f t="shared" si="1"/>
        <v>1980</v>
      </c>
      <c r="I15" s="503">
        <f t="shared" si="2"/>
        <v>1815</v>
      </c>
      <c r="J15" s="504"/>
    </row>
    <row r="16" spans="1:10" s="330" customFormat="1" ht="12.75" customHeight="1" x14ac:dyDescent="0.25">
      <c r="A16" s="564" t="s">
        <v>506</v>
      </c>
      <c r="B16" s="351">
        <v>45699</v>
      </c>
      <c r="C16" s="357">
        <v>9500</v>
      </c>
      <c r="D16" s="352" t="s">
        <v>508</v>
      </c>
      <c r="E16" s="502"/>
      <c r="F16" s="502">
        <f t="shared" si="0"/>
        <v>3795</v>
      </c>
      <c r="G16" s="406">
        <v>687.5</v>
      </c>
      <c r="H16" s="503">
        <f t="shared" si="1"/>
        <v>2667.5</v>
      </c>
      <c r="I16" s="503">
        <f t="shared" si="2"/>
        <v>1127.5</v>
      </c>
      <c r="J16" s="504"/>
    </row>
    <row r="17" spans="1:10" s="330" customFormat="1" ht="12.75" customHeight="1" x14ac:dyDescent="0.25">
      <c r="A17" s="564" t="s">
        <v>559</v>
      </c>
      <c r="B17" s="500">
        <v>45723</v>
      </c>
      <c r="C17" s="565">
        <v>9500</v>
      </c>
      <c r="D17" s="352" t="s">
        <v>561</v>
      </c>
      <c r="E17" s="502"/>
      <c r="F17" s="502">
        <f t="shared" si="0"/>
        <v>3795</v>
      </c>
      <c r="G17" s="406">
        <v>522.5</v>
      </c>
      <c r="H17" s="503">
        <f t="shared" si="1"/>
        <v>3190</v>
      </c>
      <c r="I17" s="503">
        <f t="shared" si="2"/>
        <v>605</v>
      </c>
      <c r="J17" s="504"/>
    </row>
    <row r="18" spans="1:10" s="330" customFormat="1" ht="12.75" customHeight="1" x14ac:dyDescent="0.25">
      <c r="A18" s="564" t="s">
        <v>656</v>
      </c>
      <c r="B18" s="500">
        <v>45756</v>
      </c>
      <c r="C18" s="565">
        <v>9500</v>
      </c>
      <c r="D18" s="352" t="s">
        <v>658</v>
      </c>
      <c r="E18" s="502"/>
      <c r="F18" s="502">
        <f t="shared" si="0"/>
        <v>3795</v>
      </c>
      <c r="G18" s="406">
        <v>605</v>
      </c>
      <c r="H18" s="503">
        <f t="shared" si="1"/>
        <v>3795</v>
      </c>
      <c r="I18" s="503">
        <f t="shared" si="2"/>
        <v>0</v>
      </c>
      <c r="J18" s="504"/>
    </row>
    <row r="19" spans="1:10" s="330" customFormat="1" ht="12.75" customHeight="1" x14ac:dyDescent="0.25">
      <c r="A19" s="352"/>
      <c r="B19" s="500"/>
      <c r="C19" s="500"/>
      <c r="D19" s="504"/>
      <c r="E19" s="502"/>
      <c r="F19" s="502">
        <f t="shared" si="0"/>
        <v>3795</v>
      </c>
      <c r="G19" s="503"/>
      <c r="H19" s="503">
        <f t="shared" si="1"/>
        <v>3795</v>
      </c>
      <c r="I19" s="503">
        <f t="shared" si="2"/>
        <v>0</v>
      </c>
      <c r="J19" s="504"/>
    </row>
    <row r="20" spans="1:10" s="330" customFormat="1" ht="12.75" customHeight="1" x14ac:dyDescent="0.25">
      <c r="A20" s="352"/>
      <c r="B20" s="501"/>
      <c r="C20" s="501"/>
      <c r="D20" s="515"/>
      <c r="E20" s="503"/>
      <c r="F20" s="503"/>
      <c r="G20" s="503"/>
      <c r="H20" s="503"/>
      <c r="I20" s="503"/>
      <c r="J20" s="504"/>
    </row>
    <row r="21" spans="1:10" s="330" customFormat="1" ht="12.75" customHeight="1" thickBot="1" x14ac:dyDescent="0.3">
      <c r="A21" s="352"/>
      <c r="B21" s="516"/>
      <c r="C21" s="516"/>
      <c r="D21" s="517" t="s">
        <v>54</v>
      </c>
      <c r="E21" s="405">
        <f>SUM(E9:E20)</f>
        <v>3795</v>
      </c>
      <c r="F21" s="405"/>
      <c r="G21" s="405">
        <f>SUM(G9:G20)</f>
        <v>3795</v>
      </c>
      <c r="H21" s="405"/>
      <c r="I21" s="405">
        <f>E21-G21</f>
        <v>0</v>
      </c>
      <c r="J21" s="504"/>
    </row>
    <row r="22" spans="1:10" s="330" customFormat="1" ht="12.75" customHeight="1" thickTop="1" x14ac:dyDescent="0.25"/>
    <row r="23" spans="1:10" s="330" customFormat="1" ht="12.75" customHeight="1" x14ac:dyDescent="0.25"/>
    <row r="24" spans="1:10" s="330" customFormat="1" ht="12.75" customHeight="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4">
    <tabColor indexed="3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09" t="str">
        <f>'RECAP #9360.01'!B1</f>
        <v>IPBS JOH 6450 Corporate Dr. Fire Alarm System Replacement</v>
      </c>
      <c r="B1" s="109"/>
      <c r="C1" s="109"/>
      <c r="D1" s="109"/>
      <c r="E1" s="179"/>
      <c r="F1" s="179"/>
      <c r="G1" s="179"/>
      <c r="H1" s="180"/>
    </row>
    <row r="2" spans="1:8" ht="15.75" x14ac:dyDescent="0.25">
      <c r="A2" s="126" t="str">
        <f>'RECAP #9360.01'!B2</f>
        <v>Project # 9360.01</v>
      </c>
      <c r="B2" s="182"/>
      <c r="C2" s="182"/>
      <c r="D2" s="182"/>
      <c r="E2" s="179"/>
      <c r="F2" s="179"/>
      <c r="G2" s="179"/>
      <c r="H2" s="180"/>
    </row>
    <row r="3" spans="1:8" ht="15.75" x14ac:dyDescent="0.25">
      <c r="A3" s="183" t="str">
        <f>'RECAP #9360.01'!B3</f>
        <v>Program code 936001</v>
      </c>
      <c r="B3" s="182"/>
      <c r="C3" s="182"/>
      <c r="D3" s="182"/>
      <c r="E3" s="184" t="str">
        <f>'RECAP #9360.01'!E3</f>
        <v>Major Program 3E01</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#9360.01'!B6</f>
        <v>Project Manager - Brandon A.</v>
      </c>
      <c r="B6" s="126"/>
      <c r="C6" s="126"/>
      <c r="D6" s="126"/>
      <c r="E6" s="188"/>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x14ac:dyDescent="0.25">
      <c r="A9" s="204"/>
      <c r="B9" s="196"/>
      <c r="C9" s="195"/>
      <c r="D9" s="195"/>
      <c r="E9" s="336"/>
      <c r="F9" s="337"/>
      <c r="G9" s="211"/>
      <c r="H9" s="211">
        <f>G9</f>
        <v>0</v>
      </c>
    </row>
    <row r="10" spans="1:8" x14ac:dyDescent="0.25">
      <c r="A10" s="328"/>
      <c r="B10" s="196"/>
      <c r="C10" s="205"/>
      <c r="D10" s="205"/>
      <c r="E10" s="137"/>
      <c r="F10" s="262"/>
      <c r="G10" s="211"/>
      <c r="H10" s="211">
        <f>H9+G10</f>
        <v>0</v>
      </c>
    </row>
    <row r="11" spans="1:8" x14ac:dyDescent="0.25">
      <c r="A11" s="328"/>
      <c r="B11" s="196"/>
      <c r="C11" s="196"/>
      <c r="D11" s="196"/>
      <c r="E11" s="137"/>
      <c r="F11" s="262"/>
      <c r="G11" s="211"/>
      <c r="H11" s="211">
        <f t="shared" ref="H11:H20" si="0">H10+G11</f>
        <v>0</v>
      </c>
    </row>
    <row r="12" spans="1:8" x14ac:dyDescent="0.25">
      <c r="A12" s="328" t="s">
        <v>3</v>
      </c>
      <c r="B12" s="196" t="s">
        <v>3</v>
      </c>
      <c r="C12" s="196"/>
      <c r="D12" s="196"/>
      <c r="E12" s="137" t="s">
        <v>3</v>
      </c>
      <c r="F12" s="262"/>
      <c r="G12" s="211"/>
      <c r="H12" s="211">
        <f t="shared" si="0"/>
        <v>0</v>
      </c>
    </row>
    <row r="13" spans="1:8" x14ac:dyDescent="0.25">
      <c r="A13" s="328" t="s">
        <v>3</v>
      </c>
      <c r="B13" s="196" t="s">
        <v>3</v>
      </c>
      <c r="C13" s="196"/>
      <c r="D13" s="196"/>
      <c r="E13" s="137" t="s">
        <v>3</v>
      </c>
      <c r="F13" s="262"/>
      <c r="G13" s="211"/>
      <c r="H13" s="211">
        <f t="shared" si="0"/>
        <v>0</v>
      </c>
    </row>
    <row r="14" spans="1:8" x14ac:dyDescent="0.25">
      <c r="A14" s="328"/>
      <c r="B14" s="196"/>
      <c r="C14" s="196"/>
      <c r="D14" s="196"/>
      <c r="E14" s="137"/>
      <c r="F14" s="262"/>
      <c r="G14" s="211"/>
      <c r="H14" s="211">
        <f t="shared" si="0"/>
        <v>0</v>
      </c>
    </row>
    <row r="15" spans="1:8" x14ac:dyDescent="0.25">
      <c r="A15" s="328"/>
      <c r="B15" s="196"/>
      <c r="C15" s="196"/>
      <c r="D15" s="196"/>
      <c r="E15" s="132"/>
      <c r="F15" s="262"/>
      <c r="G15" s="211"/>
      <c r="H15" s="211">
        <f t="shared" si="0"/>
        <v>0</v>
      </c>
    </row>
    <row r="16" spans="1:8" x14ac:dyDescent="0.25">
      <c r="A16" s="328"/>
      <c r="B16" s="196"/>
      <c r="C16" s="196"/>
      <c r="D16" s="196"/>
      <c r="E16" s="137"/>
      <c r="F16" s="262"/>
      <c r="G16" s="211"/>
      <c r="H16" s="211">
        <f t="shared" si="0"/>
        <v>0</v>
      </c>
    </row>
    <row r="17" spans="1:8" x14ac:dyDescent="0.25">
      <c r="A17" s="195"/>
      <c r="B17" s="196"/>
      <c r="C17" s="196"/>
      <c r="D17" s="196"/>
      <c r="E17" s="137"/>
      <c r="F17" s="262"/>
      <c r="G17" s="211"/>
      <c r="H17" s="211">
        <f t="shared" si="0"/>
        <v>0</v>
      </c>
    </row>
    <row r="18" spans="1:8" x14ac:dyDescent="0.25">
      <c r="A18" s="195"/>
      <c r="B18" s="196"/>
      <c r="C18" s="196"/>
      <c r="D18" s="196"/>
      <c r="E18" s="137"/>
      <c r="F18" s="262"/>
      <c r="G18" s="211"/>
      <c r="H18" s="211">
        <f t="shared" si="0"/>
        <v>0</v>
      </c>
    </row>
    <row r="19" spans="1:8" x14ac:dyDescent="0.25">
      <c r="A19" s="195"/>
      <c r="B19" s="196"/>
      <c r="C19" s="196"/>
      <c r="D19" s="196"/>
      <c r="E19" s="137"/>
      <c r="F19" s="262"/>
      <c r="G19" s="211"/>
      <c r="H19" s="211">
        <f t="shared" si="0"/>
        <v>0</v>
      </c>
    </row>
    <row r="20" spans="1:8" x14ac:dyDescent="0.25">
      <c r="A20" s="195"/>
      <c r="B20" s="196"/>
      <c r="C20" s="196"/>
      <c r="D20" s="196"/>
      <c r="E20" s="137"/>
      <c r="F20" s="262"/>
      <c r="G20" s="211"/>
      <c r="H20" s="211">
        <f t="shared" si="0"/>
        <v>0</v>
      </c>
    </row>
    <row r="21" spans="1:8" x14ac:dyDescent="0.25">
      <c r="A21" s="195"/>
      <c r="B21" s="205"/>
      <c r="C21" s="205"/>
      <c r="D21" s="205"/>
      <c r="E21" s="137"/>
      <c r="F21" s="211"/>
      <c r="G21" s="137"/>
      <c r="H21" s="211"/>
    </row>
    <row r="22" spans="1:8" ht="15.75" thickBot="1" x14ac:dyDescent="0.3">
      <c r="A22" s="321"/>
      <c r="B22" s="324"/>
      <c r="C22" s="324"/>
      <c r="D22" s="324"/>
      <c r="E22" s="325" t="s">
        <v>54</v>
      </c>
      <c r="F22" s="326"/>
      <c r="G22" s="208">
        <f>SUM(G9:G21)</f>
        <v>0</v>
      </c>
      <c r="H22" s="32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5">
    <tabColor rgb="FF0070C0"/>
    <pageSetUpPr fitToPage="1"/>
  </sheetPr>
  <dimension ref="A1:I30"/>
  <sheetViews>
    <sheetView tabSelected="1" topLeftCell="A7"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113</v>
      </c>
      <c r="B4" s="126"/>
      <c r="C4" s="181"/>
      <c r="D4" s="185" t="s">
        <v>115</v>
      </c>
      <c r="E4" s="180"/>
      <c r="F4" s="180"/>
      <c r="G4" s="180"/>
      <c r="H4" s="181"/>
      <c r="I4" s="181"/>
    </row>
    <row r="5" spans="1:9" ht="15.75" x14ac:dyDescent="0.25">
      <c r="A5" s="186" t="s">
        <v>109</v>
      </c>
      <c r="B5" s="181"/>
      <c r="C5" s="187"/>
      <c r="D5" s="176" t="s">
        <v>120</v>
      </c>
      <c r="E5" s="137"/>
      <c r="F5" s="180"/>
      <c r="G5" s="180"/>
      <c r="H5" s="181"/>
      <c r="I5" s="181"/>
    </row>
    <row r="6" spans="1:9" ht="15.75" x14ac:dyDescent="0.25">
      <c r="A6" s="126" t="str">
        <f>'RECAP #9360.01'!B6</f>
        <v>Project Manager - Brandon A.</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114</v>
      </c>
      <c r="B9" s="196">
        <v>45503</v>
      </c>
      <c r="C9" s="197" t="s">
        <v>107</v>
      </c>
      <c r="D9" s="198">
        <v>26719.46</v>
      </c>
      <c r="E9" s="199">
        <f>D9</f>
        <v>26719.46</v>
      </c>
      <c r="F9" s="200"/>
      <c r="G9" s="200"/>
      <c r="H9" s="200">
        <f>E9</f>
        <v>26719.46</v>
      </c>
      <c r="I9" s="137"/>
    </row>
    <row r="10" spans="1:9" x14ac:dyDescent="0.25">
      <c r="A10" s="195" t="s">
        <v>197</v>
      </c>
      <c r="B10" s="201">
        <v>45547</v>
      </c>
      <c r="C10" s="197" t="s">
        <v>198</v>
      </c>
      <c r="D10" s="198"/>
      <c r="E10" s="199">
        <f t="shared" ref="E10:E21" si="0">E9+D10</f>
        <v>26719.46</v>
      </c>
      <c r="F10" s="203">
        <v>1959.11</v>
      </c>
      <c r="G10" s="200">
        <f t="shared" ref="G10:G21" si="1">G9+F10</f>
        <v>1959.11</v>
      </c>
      <c r="H10" s="200">
        <f t="shared" ref="H10:H21" si="2">H9-F10+D10</f>
        <v>24760.35</v>
      </c>
      <c r="I10" s="137"/>
    </row>
    <row r="11" spans="1:9" x14ac:dyDescent="0.25">
      <c r="A11" s="195" t="s">
        <v>272</v>
      </c>
      <c r="B11" s="196">
        <v>45574</v>
      </c>
      <c r="C11" s="197" t="s">
        <v>273</v>
      </c>
      <c r="D11" s="199"/>
      <c r="E11" s="199">
        <f t="shared" si="0"/>
        <v>26719.46</v>
      </c>
      <c r="F11" s="203">
        <v>3185.03</v>
      </c>
      <c r="G11" s="200">
        <f t="shared" si="1"/>
        <v>5144.1400000000003</v>
      </c>
      <c r="H11" s="200">
        <f t="shared" si="2"/>
        <v>21575.32</v>
      </c>
      <c r="I11" s="137"/>
    </row>
    <row r="12" spans="1:9" x14ac:dyDescent="0.25">
      <c r="A12" s="195" t="s">
        <v>317</v>
      </c>
      <c r="B12" s="196">
        <v>45608</v>
      </c>
      <c r="C12" s="197" t="s">
        <v>318</v>
      </c>
      <c r="D12" s="199"/>
      <c r="E12" s="199">
        <f t="shared" si="0"/>
        <v>26719.46</v>
      </c>
      <c r="F12" s="203">
        <v>3278.46</v>
      </c>
      <c r="G12" s="200">
        <f t="shared" si="1"/>
        <v>8422.6</v>
      </c>
      <c r="H12" s="200">
        <f t="shared" si="2"/>
        <v>18296.86</v>
      </c>
      <c r="I12" s="137"/>
    </row>
    <row r="13" spans="1:9" x14ac:dyDescent="0.25">
      <c r="A13" s="195" t="s">
        <v>114</v>
      </c>
      <c r="B13" s="196">
        <v>45642</v>
      </c>
      <c r="C13" s="197" t="s">
        <v>301</v>
      </c>
      <c r="D13" s="198">
        <v>120</v>
      </c>
      <c r="E13" s="199">
        <f t="shared" si="0"/>
        <v>26839.46</v>
      </c>
      <c r="F13" s="203"/>
      <c r="G13" s="200">
        <f t="shared" si="1"/>
        <v>8422.6</v>
      </c>
      <c r="H13" s="200">
        <f t="shared" si="2"/>
        <v>18416.86</v>
      </c>
      <c r="I13" s="137"/>
    </row>
    <row r="14" spans="1:9" x14ac:dyDescent="0.25">
      <c r="A14" s="195" t="s">
        <v>373</v>
      </c>
      <c r="B14" s="196">
        <v>45649</v>
      </c>
      <c r="C14" s="197" t="s">
        <v>374</v>
      </c>
      <c r="D14" s="199"/>
      <c r="E14" s="199">
        <f t="shared" si="0"/>
        <v>26839.46</v>
      </c>
      <c r="F14" s="203">
        <v>4993.2700000000004</v>
      </c>
      <c r="G14" s="200">
        <f t="shared" si="1"/>
        <v>13415.87</v>
      </c>
      <c r="H14" s="200">
        <f t="shared" si="2"/>
        <v>13423.59</v>
      </c>
      <c r="I14" s="137"/>
    </row>
    <row r="15" spans="1:9" x14ac:dyDescent="0.25">
      <c r="A15" s="195" t="s">
        <v>433</v>
      </c>
      <c r="B15" s="196">
        <v>45671</v>
      </c>
      <c r="C15" s="197" t="s">
        <v>434</v>
      </c>
      <c r="D15" s="199"/>
      <c r="E15" s="199">
        <f t="shared" si="0"/>
        <v>26839.46</v>
      </c>
      <c r="F15" s="203">
        <v>680.93</v>
      </c>
      <c r="G15" s="200">
        <f t="shared" si="1"/>
        <v>14096.800000000001</v>
      </c>
      <c r="H15" s="200">
        <f t="shared" si="2"/>
        <v>12742.66</v>
      </c>
      <c r="I15" s="137"/>
    </row>
    <row r="16" spans="1:9" x14ac:dyDescent="0.25">
      <c r="A16" s="195" t="s">
        <v>499</v>
      </c>
      <c r="B16" s="196">
        <v>45700</v>
      </c>
      <c r="C16" s="197" t="s">
        <v>500</v>
      </c>
      <c r="D16" s="199"/>
      <c r="E16" s="199">
        <f t="shared" si="0"/>
        <v>26839.46</v>
      </c>
      <c r="F16" s="203">
        <v>592.51</v>
      </c>
      <c r="G16" s="200">
        <f t="shared" si="1"/>
        <v>14689.310000000001</v>
      </c>
      <c r="H16" s="200">
        <f t="shared" si="2"/>
        <v>12150.15</v>
      </c>
      <c r="I16" s="137"/>
    </row>
    <row r="17" spans="1:9" x14ac:dyDescent="0.25">
      <c r="A17" s="195" t="s">
        <v>573</v>
      </c>
      <c r="B17" s="196">
        <v>45735</v>
      </c>
      <c r="C17" s="197" t="s">
        <v>574</v>
      </c>
      <c r="D17" s="199"/>
      <c r="E17" s="199">
        <f t="shared" si="0"/>
        <v>26839.46</v>
      </c>
      <c r="F17" s="203">
        <v>625.86</v>
      </c>
      <c r="G17" s="200">
        <f t="shared" si="1"/>
        <v>15315.170000000002</v>
      </c>
      <c r="H17" s="200">
        <f t="shared" si="2"/>
        <v>11524.289999999999</v>
      </c>
      <c r="I17" s="137"/>
    </row>
    <row r="18" spans="1:9" x14ac:dyDescent="0.25">
      <c r="A18" s="195" t="s">
        <v>621</v>
      </c>
      <c r="B18" s="196">
        <v>45750</v>
      </c>
      <c r="C18" s="197" t="s">
        <v>622</v>
      </c>
      <c r="D18" s="202">
        <v>-11237.3</v>
      </c>
      <c r="E18" s="199">
        <f t="shared" si="0"/>
        <v>15602.16</v>
      </c>
      <c r="F18" s="203">
        <v>286.99</v>
      </c>
      <c r="G18" s="200">
        <f t="shared" si="1"/>
        <v>15602.160000000002</v>
      </c>
      <c r="H18" s="200">
        <f t="shared" si="2"/>
        <v>0</v>
      </c>
      <c r="I18" s="137"/>
    </row>
    <row r="19" spans="1:9" x14ac:dyDescent="0.25">
      <c r="A19" s="195"/>
      <c r="B19" s="196"/>
      <c r="C19" s="197"/>
      <c r="D19" s="199"/>
      <c r="E19" s="199">
        <f t="shared" si="0"/>
        <v>15602.16</v>
      </c>
      <c r="F19" s="200"/>
      <c r="G19" s="200">
        <f t="shared" si="1"/>
        <v>15602.160000000002</v>
      </c>
      <c r="H19" s="200">
        <f t="shared" si="2"/>
        <v>0</v>
      </c>
      <c r="I19" s="137"/>
    </row>
    <row r="20" spans="1:9" x14ac:dyDescent="0.25">
      <c r="A20" s="195"/>
      <c r="B20" s="196"/>
      <c r="C20" s="197"/>
      <c r="D20" s="199"/>
      <c r="E20" s="199">
        <f t="shared" si="0"/>
        <v>15602.16</v>
      </c>
      <c r="F20" s="200"/>
      <c r="G20" s="200">
        <f t="shared" si="1"/>
        <v>15602.160000000002</v>
      </c>
      <c r="H20" s="200">
        <f t="shared" si="2"/>
        <v>0</v>
      </c>
      <c r="I20" s="137"/>
    </row>
    <row r="21" spans="1:9" x14ac:dyDescent="0.25">
      <c r="A21" s="195"/>
      <c r="B21" s="196"/>
      <c r="C21" s="204"/>
      <c r="D21" s="199"/>
      <c r="E21" s="199">
        <f t="shared" si="0"/>
        <v>15602.16</v>
      </c>
      <c r="F21" s="200"/>
      <c r="G21" s="200">
        <f t="shared" si="1"/>
        <v>15602.160000000002</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15602.16</v>
      </c>
      <c r="E23" s="208"/>
      <c r="F23" s="208">
        <f>SUM(F9:F22)</f>
        <v>15602.160000000002</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117</v>
      </c>
      <c r="D26" s="200">
        <f>26449.46-11176.64</f>
        <v>15272.82</v>
      </c>
      <c r="E26" s="200"/>
      <c r="F26" s="200">
        <f>1853.77+3115.03+3194.46+4923.27+680.93+592.51+625.86+286.99</f>
        <v>15272.820000000002</v>
      </c>
      <c r="G26" s="200"/>
      <c r="H26" s="200">
        <f>D26-F26</f>
        <v>0</v>
      </c>
      <c r="I26" s="137"/>
    </row>
    <row r="27" spans="1:9" x14ac:dyDescent="0.25">
      <c r="A27" s="195"/>
      <c r="B27" s="197"/>
      <c r="C27" s="205" t="s">
        <v>118</v>
      </c>
      <c r="D27" s="200">
        <v>270</v>
      </c>
      <c r="E27" s="200"/>
      <c r="F27" s="200">
        <f>105.34+70+84+10.66</f>
        <v>270.00000000000006</v>
      </c>
      <c r="G27" s="200"/>
      <c r="H27" s="200">
        <f>D27-F27</f>
        <v>0</v>
      </c>
      <c r="I27" s="137"/>
    </row>
    <row r="28" spans="1:9" x14ac:dyDescent="0.25">
      <c r="A28" s="195"/>
      <c r="B28" s="197"/>
      <c r="C28" s="205" t="s">
        <v>301</v>
      </c>
      <c r="D28" s="200">
        <f>120-60.66</f>
        <v>59.34</v>
      </c>
      <c r="E28" s="200"/>
      <c r="F28" s="200">
        <f>59.34</f>
        <v>59.34</v>
      </c>
      <c r="G28" s="200"/>
      <c r="H28" s="200">
        <f>D28-F28</f>
        <v>0</v>
      </c>
      <c r="I28" s="137"/>
    </row>
    <row r="29" spans="1:9" ht="15.75" thickBot="1" x14ac:dyDescent="0.3">
      <c r="A29" s="195"/>
      <c r="B29" s="197"/>
      <c r="C29" s="324" t="s">
        <v>555</v>
      </c>
      <c r="D29" s="208">
        <f>SUM(D26:D28)</f>
        <v>15602.16</v>
      </c>
      <c r="E29" s="200"/>
      <c r="F29" s="208">
        <f>SUM(F26:F28)</f>
        <v>15602.160000000002</v>
      </c>
      <c r="G29" s="200"/>
      <c r="H29" s="208">
        <f>SUM(H26:H28)</f>
        <v>0</v>
      </c>
      <c r="I29" s="137"/>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6">
    <tabColor rgb="FF0070C0"/>
    <pageSetUpPr fitToPage="1"/>
  </sheetPr>
  <dimension ref="A1:I2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113</v>
      </c>
      <c r="B4" s="126"/>
      <c r="C4" s="181"/>
      <c r="D4" s="185" t="s">
        <v>115</v>
      </c>
      <c r="E4" s="180"/>
      <c r="F4" s="180"/>
      <c r="G4" s="180"/>
      <c r="H4" s="181"/>
      <c r="I4" s="181"/>
    </row>
    <row r="5" spans="1:9" ht="15.75" x14ac:dyDescent="0.25">
      <c r="A5" s="186" t="s">
        <v>109</v>
      </c>
      <c r="B5" s="181"/>
      <c r="C5" s="187"/>
      <c r="D5" s="176" t="s">
        <v>120</v>
      </c>
      <c r="E5" s="137"/>
      <c r="F5" s="180"/>
      <c r="G5" s="180"/>
      <c r="H5" s="181"/>
      <c r="I5" s="181"/>
    </row>
    <row r="6" spans="1:9" ht="15.75" x14ac:dyDescent="0.25">
      <c r="A6" s="126" t="str">
        <f>'RECAP #9360.01'!B6</f>
        <v>Project Manager - Brandon A.</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160</v>
      </c>
      <c r="B9" s="196">
        <v>45519</v>
      </c>
      <c r="C9" s="197" t="s">
        <v>167</v>
      </c>
      <c r="D9" s="198">
        <v>906.42</v>
      </c>
      <c r="E9" s="199">
        <f>D9</f>
        <v>906.42</v>
      </c>
      <c r="F9" s="200"/>
      <c r="G9" s="200"/>
      <c r="H9" s="200">
        <f>E9</f>
        <v>906.42</v>
      </c>
      <c r="I9" s="137"/>
    </row>
    <row r="10" spans="1:9" x14ac:dyDescent="0.25">
      <c r="A10" s="195" t="s">
        <v>168</v>
      </c>
      <c r="B10" s="201">
        <v>45523</v>
      </c>
      <c r="C10" s="197" t="s">
        <v>166</v>
      </c>
      <c r="D10" s="202">
        <v>-210.13</v>
      </c>
      <c r="E10" s="199">
        <f t="shared" ref="E10:E21" si="0">E9+D10</f>
        <v>696.29</v>
      </c>
      <c r="F10" s="203">
        <v>696.29</v>
      </c>
      <c r="G10" s="200">
        <f t="shared" ref="G10:G21" si="1">G9+F10</f>
        <v>696.29</v>
      </c>
      <c r="H10" s="200">
        <f t="shared" ref="H10:H21" si="2">H9-F10+D10</f>
        <v>0</v>
      </c>
      <c r="I10" s="137"/>
    </row>
    <row r="11" spans="1:9" x14ac:dyDescent="0.25">
      <c r="A11" s="195"/>
      <c r="B11" s="196"/>
      <c r="C11" s="197"/>
      <c r="D11" s="199"/>
      <c r="E11" s="199">
        <f t="shared" si="0"/>
        <v>696.29</v>
      </c>
      <c r="F11" s="203"/>
      <c r="G11" s="200">
        <f t="shared" si="1"/>
        <v>696.29</v>
      </c>
      <c r="H11" s="200">
        <f t="shared" si="2"/>
        <v>0</v>
      </c>
      <c r="I11" s="137"/>
    </row>
    <row r="12" spans="1:9" x14ac:dyDescent="0.25">
      <c r="A12" s="195"/>
      <c r="B12" s="196"/>
      <c r="C12" s="197"/>
      <c r="D12" s="199"/>
      <c r="E12" s="199">
        <f t="shared" si="0"/>
        <v>696.29</v>
      </c>
      <c r="F12" s="203"/>
      <c r="G12" s="200">
        <f t="shared" si="1"/>
        <v>696.29</v>
      </c>
      <c r="H12" s="200">
        <f t="shared" si="2"/>
        <v>0</v>
      </c>
      <c r="I12" s="137"/>
    </row>
    <row r="13" spans="1:9" x14ac:dyDescent="0.25">
      <c r="A13" s="195"/>
      <c r="B13" s="196"/>
      <c r="C13" s="197"/>
      <c r="D13" s="199"/>
      <c r="E13" s="199">
        <f t="shared" si="0"/>
        <v>696.29</v>
      </c>
      <c r="F13" s="203"/>
      <c r="G13" s="200">
        <f t="shared" si="1"/>
        <v>696.29</v>
      </c>
      <c r="H13" s="200">
        <f t="shared" si="2"/>
        <v>0</v>
      </c>
      <c r="I13" s="137"/>
    </row>
    <row r="14" spans="1:9" x14ac:dyDescent="0.25">
      <c r="A14" s="195"/>
      <c r="B14" s="196"/>
      <c r="C14" s="197"/>
      <c r="D14" s="199"/>
      <c r="E14" s="199">
        <f t="shared" si="0"/>
        <v>696.29</v>
      </c>
      <c r="F14" s="200"/>
      <c r="G14" s="200">
        <f t="shared" si="1"/>
        <v>696.29</v>
      </c>
      <c r="H14" s="200">
        <f t="shared" si="2"/>
        <v>0</v>
      </c>
      <c r="I14" s="137"/>
    </row>
    <row r="15" spans="1:9" x14ac:dyDescent="0.25">
      <c r="A15" s="195"/>
      <c r="B15" s="196"/>
      <c r="C15" s="197"/>
      <c r="D15" s="199"/>
      <c r="E15" s="199">
        <f t="shared" si="0"/>
        <v>696.29</v>
      </c>
      <c r="F15" s="203"/>
      <c r="G15" s="200">
        <f t="shared" si="1"/>
        <v>696.29</v>
      </c>
      <c r="H15" s="200">
        <f t="shared" si="2"/>
        <v>0</v>
      </c>
      <c r="I15" s="137"/>
    </row>
    <row r="16" spans="1:9" x14ac:dyDescent="0.25">
      <c r="A16" s="195"/>
      <c r="B16" s="196"/>
      <c r="C16" s="197"/>
      <c r="D16" s="199"/>
      <c r="E16" s="199">
        <f t="shared" si="0"/>
        <v>696.29</v>
      </c>
      <c r="F16" s="203"/>
      <c r="G16" s="200">
        <f t="shared" si="1"/>
        <v>696.29</v>
      </c>
      <c r="H16" s="200">
        <f t="shared" si="2"/>
        <v>0</v>
      </c>
      <c r="I16" s="137"/>
    </row>
    <row r="17" spans="1:9" x14ac:dyDescent="0.25">
      <c r="A17" s="195"/>
      <c r="B17" s="196"/>
      <c r="C17" s="197"/>
      <c r="D17" s="199"/>
      <c r="E17" s="199">
        <f t="shared" si="0"/>
        <v>696.29</v>
      </c>
      <c r="F17" s="203"/>
      <c r="G17" s="200">
        <f t="shared" si="1"/>
        <v>696.29</v>
      </c>
      <c r="H17" s="200">
        <f t="shared" si="2"/>
        <v>0</v>
      </c>
      <c r="I17" s="137"/>
    </row>
    <row r="18" spans="1:9" x14ac:dyDescent="0.25">
      <c r="A18" s="195"/>
      <c r="B18" s="196"/>
      <c r="C18" s="197"/>
      <c r="D18" s="199"/>
      <c r="E18" s="199">
        <f t="shared" si="0"/>
        <v>696.29</v>
      </c>
      <c r="F18" s="203"/>
      <c r="G18" s="200">
        <f t="shared" si="1"/>
        <v>696.29</v>
      </c>
      <c r="H18" s="200">
        <f t="shared" si="2"/>
        <v>0</v>
      </c>
      <c r="I18" s="137"/>
    </row>
    <row r="19" spans="1:9" x14ac:dyDescent="0.25">
      <c r="A19" s="195"/>
      <c r="B19" s="196"/>
      <c r="C19" s="197"/>
      <c r="D19" s="199"/>
      <c r="E19" s="199">
        <f t="shared" si="0"/>
        <v>696.29</v>
      </c>
      <c r="F19" s="200"/>
      <c r="G19" s="200">
        <f t="shared" si="1"/>
        <v>696.29</v>
      </c>
      <c r="H19" s="200">
        <f t="shared" si="2"/>
        <v>0</v>
      </c>
      <c r="I19" s="137"/>
    </row>
    <row r="20" spans="1:9" x14ac:dyDescent="0.25">
      <c r="A20" s="195"/>
      <c r="B20" s="196"/>
      <c r="C20" s="197"/>
      <c r="D20" s="199"/>
      <c r="E20" s="199">
        <f t="shared" si="0"/>
        <v>696.29</v>
      </c>
      <c r="F20" s="200"/>
      <c r="G20" s="200">
        <f t="shared" si="1"/>
        <v>696.29</v>
      </c>
      <c r="H20" s="200">
        <f t="shared" si="2"/>
        <v>0</v>
      </c>
      <c r="I20" s="137"/>
    </row>
    <row r="21" spans="1:9" x14ac:dyDescent="0.25">
      <c r="A21" s="195"/>
      <c r="B21" s="196"/>
      <c r="C21" s="204"/>
      <c r="D21" s="199"/>
      <c r="E21" s="199">
        <f t="shared" si="0"/>
        <v>696.29</v>
      </c>
      <c r="F21" s="200"/>
      <c r="G21" s="200">
        <f t="shared" si="1"/>
        <v>696.29</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696.29</v>
      </c>
      <c r="E23" s="208"/>
      <c r="F23" s="208">
        <f>SUM(F9:F22)</f>
        <v>696.29</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164</v>
      </c>
      <c r="D26" s="200">
        <v>12880.01</v>
      </c>
      <c r="E26" s="200"/>
      <c r="F26" s="200">
        <v>12880.01</v>
      </c>
      <c r="G26" s="200"/>
      <c r="H26" s="200">
        <v>0</v>
      </c>
      <c r="I26" s="137"/>
    </row>
    <row r="27" spans="1:9" ht="15.75" thickBot="1" x14ac:dyDescent="0.3">
      <c r="A27" s="195"/>
      <c r="B27" s="197"/>
      <c r="C27" s="205" t="s">
        <v>165</v>
      </c>
      <c r="D27" s="209">
        <f>D23+D26</f>
        <v>13576.3</v>
      </c>
      <c r="E27" s="200"/>
      <c r="F27" s="209">
        <f>F23+F26</f>
        <v>13576.3</v>
      </c>
      <c r="G27" s="200"/>
      <c r="H27" s="209">
        <f>H23+H26</f>
        <v>0</v>
      </c>
      <c r="I27" s="137"/>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7">
    <tabColor rgb="FF0070C0"/>
    <pageSetUpPr fitToPage="1"/>
  </sheetPr>
  <dimension ref="A1:I2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159</v>
      </c>
      <c r="B4" s="126"/>
      <c r="C4" s="181"/>
      <c r="D4" s="185" t="s">
        <v>161</v>
      </c>
      <c r="E4" s="180"/>
      <c r="F4" s="180"/>
      <c r="G4" s="180"/>
      <c r="H4" s="181"/>
      <c r="I4" s="181"/>
    </row>
    <row r="5" spans="1:9" ht="15.75" x14ac:dyDescent="0.25">
      <c r="A5" s="186" t="s">
        <v>143</v>
      </c>
      <c r="B5" s="181"/>
      <c r="C5" s="187"/>
      <c r="D5" s="176" t="s">
        <v>162</v>
      </c>
      <c r="E5" s="137"/>
      <c r="F5" s="180"/>
      <c r="G5" s="180"/>
      <c r="H5" s="181"/>
      <c r="I5" s="181"/>
    </row>
    <row r="6" spans="1:9" ht="15.75" x14ac:dyDescent="0.25">
      <c r="A6" s="126" t="str">
        <f>'RECAP #9360.01'!B6</f>
        <v>Project Manager - Brandon A.</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163</v>
      </c>
      <c r="B9" s="196">
        <v>45885</v>
      </c>
      <c r="C9" s="197" t="s">
        <v>167</v>
      </c>
      <c r="D9" s="198">
        <v>5885</v>
      </c>
      <c r="E9" s="199">
        <f>D9</f>
        <v>5885</v>
      </c>
      <c r="F9" s="200"/>
      <c r="G9" s="200"/>
      <c r="H9" s="200">
        <f>E9</f>
        <v>5885</v>
      </c>
      <c r="I9" s="137"/>
    </row>
    <row r="10" spans="1:9" x14ac:dyDescent="0.25">
      <c r="A10" s="195" t="s">
        <v>180</v>
      </c>
      <c r="B10" s="201">
        <v>45527</v>
      </c>
      <c r="C10" s="197" t="s">
        <v>181</v>
      </c>
      <c r="D10" s="198"/>
      <c r="E10" s="199">
        <f t="shared" ref="E10:E21" si="0">E9+D10</f>
        <v>5885</v>
      </c>
      <c r="F10" s="203">
        <v>1177</v>
      </c>
      <c r="G10" s="200">
        <f t="shared" ref="G10:G21" si="1">G9+F10</f>
        <v>1177</v>
      </c>
      <c r="H10" s="200">
        <f t="shared" ref="H10:H21" si="2">H9-F10+D10</f>
        <v>4708</v>
      </c>
      <c r="I10" s="137"/>
    </row>
    <row r="11" spans="1:9" x14ac:dyDescent="0.25">
      <c r="A11" s="195" t="s">
        <v>282</v>
      </c>
      <c r="B11" s="196">
        <v>45579</v>
      </c>
      <c r="C11" s="197" t="s">
        <v>283</v>
      </c>
      <c r="D11" s="199"/>
      <c r="E11" s="199">
        <f t="shared" si="0"/>
        <v>5885</v>
      </c>
      <c r="F11" s="203">
        <v>1177</v>
      </c>
      <c r="G11" s="200">
        <f t="shared" si="1"/>
        <v>2354</v>
      </c>
      <c r="H11" s="200">
        <f t="shared" si="2"/>
        <v>3531</v>
      </c>
      <c r="I11" s="137"/>
    </row>
    <row r="12" spans="1:9" x14ac:dyDescent="0.25">
      <c r="A12" s="195" t="s">
        <v>337</v>
      </c>
      <c r="B12" s="196">
        <v>45629</v>
      </c>
      <c r="C12" s="197" t="s">
        <v>338</v>
      </c>
      <c r="D12" s="199"/>
      <c r="E12" s="199">
        <f t="shared" si="0"/>
        <v>5885</v>
      </c>
      <c r="F12" s="203">
        <v>1466</v>
      </c>
      <c r="G12" s="200">
        <f t="shared" si="1"/>
        <v>3820</v>
      </c>
      <c r="H12" s="200">
        <f t="shared" si="2"/>
        <v>2065</v>
      </c>
      <c r="I12" s="137"/>
    </row>
    <row r="13" spans="1:9" x14ac:dyDescent="0.25">
      <c r="A13" s="195" t="s">
        <v>457</v>
      </c>
      <c r="B13" s="196">
        <v>45681</v>
      </c>
      <c r="C13" s="197" t="s">
        <v>458</v>
      </c>
      <c r="D13" s="199"/>
      <c r="E13" s="199">
        <f t="shared" si="0"/>
        <v>5885</v>
      </c>
      <c r="F13" s="203">
        <v>774.25</v>
      </c>
      <c r="G13" s="200">
        <f t="shared" si="1"/>
        <v>4594.25</v>
      </c>
      <c r="H13" s="200">
        <f t="shared" si="2"/>
        <v>1290.75</v>
      </c>
      <c r="I13" s="137"/>
    </row>
    <row r="14" spans="1:9" x14ac:dyDescent="0.25">
      <c r="A14" s="195" t="s">
        <v>543</v>
      </c>
      <c r="B14" s="196">
        <v>45712</v>
      </c>
      <c r="C14" s="197" t="s">
        <v>544</v>
      </c>
      <c r="D14" s="199"/>
      <c r="E14" s="199">
        <f t="shared" si="0"/>
        <v>5885</v>
      </c>
      <c r="F14" s="203">
        <v>1231.9000000000001</v>
      </c>
      <c r="G14" s="200">
        <f t="shared" si="1"/>
        <v>5826.15</v>
      </c>
      <c r="H14" s="200">
        <f t="shared" si="2"/>
        <v>58.849999999999909</v>
      </c>
      <c r="I14" s="137"/>
    </row>
    <row r="15" spans="1:9" x14ac:dyDescent="0.25">
      <c r="A15" s="195" t="s">
        <v>623</v>
      </c>
      <c r="B15" s="196">
        <v>45750</v>
      </c>
      <c r="C15" s="197" t="s">
        <v>624</v>
      </c>
      <c r="D15" s="199"/>
      <c r="E15" s="199">
        <f t="shared" si="0"/>
        <v>5885</v>
      </c>
      <c r="F15" s="203">
        <v>58.85</v>
      </c>
      <c r="G15" s="200">
        <f t="shared" si="1"/>
        <v>5885</v>
      </c>
      <c r="H15" s="200">
        <f t="shared" si="2"/>
        <v>-9.2370555648813024E-14</v>
      </c>
      <c r="I15" s="137"/>
    </row>
    <row r="16" spans="1:9" x14ac:dyDescent="0.25">
      <c r="A16" s="195"/>
      <c r="B16" s="196"/>
      <c r="C16" s="197"/>
      <c r="D16" s="199"/>
      <c r="E16" s="199">
        <f t="shared" si="0"/>
        <v>5885</v>
      </c>
      <c r="F16" s="203"/>
      <c r="G16" s="200">
        <f t="shared" si="1"/>
        <v>5885</v>
      </c>
      <c r="H16" s="200">
        <f t="shared" si="2"/>
        <v>-9.2370555648813024E-14</v>
      </c>
      <c r="I16" s="137"/>
    </row>
    <row r="17" spans="1:9" x14ac:dyDescent="0.25">
      <c r="A17" s="195"/>
      <c r="B17" s="196"/>
      <c r="C17" s="197"/>
      <c r="D17" s="199"/>
      <c r="E17" s="199">
        <f t="shared" si="0"/>
        <v>5885</v>
      </c>
      <c r="F17" s="203"/>
      <c r="G17" s="200">
        <f t="shared" si="1"/>
        <v>5885</v>
      </c>
      <c r="H17" s="200">
        <f t="shared" si="2"/>
        <v>-9.2370555648813024E-14</v>
      </c>
      <c r="I17" s="137"/>
    </row>
    <row r="18" spans="1:9" x14ac:dyDescent="0.25">
      <c r="A18" s="195"/>
      <c r="B18" s="196"/>
      <c r="C18" s="197"/>
      <c r="D18" s="199"/>
      <c r="E18" s="199">
        <f t="shared" si="0"/>
        <v>5885</v>
      </c>
      <c r="F18" s="203"/>
      <c r="G18" s="200">
        <f t="shared" si="1"/>
        <v>5885</v>
      </c>
      <c r="H18" s="200">
        <f t="shared" si="2"/>
        <v>-9.2370555648813024E-14</v>
      </c>
      <c r="I18" s="137"/>
    </row>
    <row r="19" spans="1:9" x14ac:dyDescent="0.25">
      <c r="A19" s="195"/>
      <c r="B19" s="196"/>
      <c r="C19" s="197"/>
      <c r="D19" s="199"/>
      <c r="E19" s="199">
        <f t="shared" si="0"/>
        <v>5885</v>
      </c>
      <c r="F19" s="200"/>
      <c r="G19" s="200">
        <f t="shared" si="1"/>
        <v>5885</v>
      </c>
      <c r="H19" s="200">
        <f t="shared" si="2"/>
        <v>-9.2370555648813024E-14</v>
      </c>
      <c r="I19" s="137"/>
    </row>
    <row r="20" spans="1:9" x14ac:dyDescent="0.25">
      <c r="A20" s="195"/>
      <c r="B20" s="196"/>
      <c r="C20" s="197"/>
      <c r="D20" s="199"/>
      <c r="E20" s="199">
        <f t="shared" si="0"/>
        <v>5885</v>
      </c>
      <c r="F20" s="200"/>
      <c r="G20" s="200">
        <f t="shared" si="1"/>
        <v>5885</v>
      </c>
      <c r="H20" s="200">
        <f t="shared" si="2"/>
        <v>-9.2370555648813024E-14</v>
      </c>
      <c r="I20" s="137"/>
    </row>
    <row r="21" spans="1:9" x14ac:dyDescent="0.25">
      <c r="A21" s="195"/>
      <c r="B21" s="196"/>
      <c r="C21" s="204"/>
      <c r="D21" s="199"/>
      <c r="E21" s="199">
        <f t="shared" si="0"/>
        <v>5885</v>
      </c>
      <c r="F21" s="200"/>
      <c r="G21" s="200">
        <f t="shared" si="1"/>
        <v>5885</v>
      </c>
      <c r="H21" s="200">
        <f t="shared" si="2"/>
        <v>-9.2370555648813024E-14</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5885</v>
      </c>
      <c r="E23" s="208"/>
      <c r="F23" s="208">
        <f>SUM(F9:F22)</f>
        <v>5885</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164</v>
      </c>
      <c r="D26" s="200">
        <f>'[1]#9360.00 KCL Engineering'!$D$23</f>
        <v>19930</v>
      </c>
      <c r="E26" s="200"/>
      <c r="F26" s="200">
        <f>'[1]#9360.00 KCL Engineering'!$F$23</f>
        <v>19930</v>
      </c>
      <c r="G26" s="200"/>
      <c r="H26" s="200">
        <v>0</v>
      </c>
      <c r="I26" s="137"/>
    </row>
    <row r="27" spans="1:9" ht="15.75" thickBot="1" x14ac:dyDescent="0.3">
      <c r="A27" s="195"/>
      <c r="B27" s="197"/>
      <c r="C27" s="205" t="s">
        <v>165</v>
      </c>
      <c r="D27" s="208">
        <f>D23+D26</f>
        <v>25815</v>
      </c>
      <c r="E27" s="200"/>
      <c r="F27" s="208">
        <f>F23+F26</f>
        <v>25815</v>
      </c>
      <c r="G27" s="200"/>
      <c r="H27" s="208">
        <f>H23+H26</f>
        <v>0</v>
      </c>
      <c r="I27" s="137"/>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8">
    <tabColor rgb="FF0070C0"/>
    <pageSetUpPr fitToPage="1"/>
  </sheetPr>
  <dimension ref="A1:G17"/>
  <sheetViews>
    <sheetView tabSelected="1"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775</v>
      </c>
      <c r="C1" s="109"/>
      <c r="D1" s="179"/>
      <c r="E1" s="179"/>
      <c r="F1" s="179"/>
      <c r="G1" s="179"/>
    </row>
    <row r="2" spans="1:7" ht="15.75" x14ac:dyDescent="0.25">
      <c r="A2" s="212"/>
      <c r="B2" s="126" t="s">
        <v>776</v>
      </c>
      <c r="C2" s="182"/>
      <c r="D2" s="179"/>
      <c r="E2" s="179"/>
      <c r="F2" s="179"/>
      <c r="G2" s="179"/>
    </row>
    <row r="3" spans="1:7" ht="15.75" x14ac:dyDescent="0.25">
      <c r="A3" s="212"/>
      <c r="B3" s="183" t="s">
        <v>777</v>
      </c>
      <c r="C3" s="182"/>
      <c r="D3" s="179"/>
      <c r="E3" s="184" t="s">
        <v>369</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400</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'#9366.00 Funds Rec''d'!H24</f>
        <v>41634.050000000003</v>
      </c>
      <c r="D8" s="258"/>
      <c r="E8" s="258"/>
      <c r="F8" s="258"/>
      <c r="G8" s="259"/>
    </row>
    <row r="9" spans="1:7" x14ac:dyDescent="0.25">
      <c r="A9" s="212"/>
      <c r="B9" s="182"/>
      <c r="C9" s="260"/>
      <c r="D9" s="261"/>
      <c r="E9" s="261"/>
      <c r="F9" s="261"/>
      <c r="G9" s="259"/>
    </row>
    <row r="10" spans="1:7" x14ac:dyDescent="0.25">
      <c r="A10" s="212" t="s">
        <v>170</v>
      </c>
      <c r="B10" s="182" t="s">
        <v>1169</v>
      </c>
      <c r="C10" s="260"/>
      <c r="D10" s="258">
        <f>'#9366.00 Jensen Builders'!D23</f>
        <v>40868</v>
      </c>
      <c r="E10" s="258">
        <f>'#9366.00 Jensen Builders'!F23</f>
        <v>40868</v>
      </c>
      <c r="F10" s="258">
        <f>'#9366.00 Jensen Builders'!H23</f>
        <v>0</v>
      </c>
      <c r="G10" s="259"/>
    </row>
    <row r="11" spans="1:7" x14ac:dyDescent="0.25">
      <c r="A11" s="212" t="s">
        <v>170</v>
      </c>
      <c r="B11" s="182" t="s">
        <v>41</v>
      </c>
      <c r="C11" s="260"/>
      <c r="D11" s="258">
        <f>'#9366.00 PM TIME'!E23</f>
        <v>766.05000000000018</v>
      </c>
      <c r="E11" s="258">
        <f>'#9366.00 PM TIME'!G23</f>
        <v>766.05</v>
      </c>
      <c r="F11" s="258">
        <f>'#9366.00 PM TIME'!I23</f>
        <v>0</v>
      </c>
      <c r="G11" s="259"/>
    </row>
    <row r="12" spans="1:7" x14ac:dyDescent="0.25">
      <c r="A12" s="212" t="s">
        <v>170</v>
      </c>
      <c r="B12" s="182" t="s">
        <v>42</v>
      </c>
      <c r="C12" s="261"/>
      <c r="D12" s="262">
        <f>'#9366.00 Misc'!G22</f>
        <v>0</v>
      </c>
      <c r="E12" s="262">
        <f>'#9366.00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43</v>
      </c>
      <c r="C14" s="265">
        <f>SUM(C8:C13)</f>
        <v>41634.050000000003</v>
      </c>
      <c r="D14" s="265">
        <f>SUM(D8:D13)</f>
        <v>41634.050000000003</v>
      </c>
      <c r="E14" s="265">
        <f>SUM(E8:E13)</f>
        <v>41634.050000000003</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1348</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62"/>
  <sheetViews>
    <sheetView tabSelected="1" zoomScaleNormal="100" workbookViewId="0">
      <selection activeCell="C38" sqref="C38"/>
    </sheetView>
  </sheetViews>
  <sheetFormatPr defaultColWidth="11.42578125" defaultRowHeight="15" customHeight="1" x14ac:dyDescent="0.25"/>
  <cols>
    <col min="1" max="1" width="21.5703125" customWidth="1"/>
    <col min="2" max="2" width="9.42578125" customWidth="1"/>
    <col min="3" max="3" width="30.425781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626</v>
      </c>
      <c r="B4" s="126"/>
      <c r="C4" s="127"/>
      <c r="D4" s="128" t="s">
        <v>521</v>
      </c>
      <c r="E4" s="124"/>
      <c r="F4" s="124"/>
      <c r="G4" s="124"/>
      <c r="H4" s="125"/>
      <c r="I4" s="125"/>
    </row>
    <row r="5" spans="1:9" ht="15.75" x14ac:dyDescent="0.25">
      <c r="A5" s="129" t="s">
        <v>143</v>
      </c>
      <c r="B5" s="130"/>
      <c r="C5" s="131"/>
      <c r="D5" s="132" t="s">
        <v>627</v>
      </c>
      <c r="E5" s="133"/>
      <c r="F5" s="134"/>
      <c r="G5" s="134"/>
      <c r="H5" s="130"/>
      <c r="I5" s="125"/>
    </row>
    <row r="6" spans="1:9" ht="15.75" x14ac:dyDescent="0.25">
      <c r="A6" s="86" t="str">
        <f>'RECAP #9239.02'!B6</f>
        <v>Project Manager - Brad T.</v>
      </c>
      <c r="B6" s="86"/>
      <c r="C6" s="135"/>
      <c r="D6" s="136" t="s">
        <v>146</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49</v>
      </c>
      <c r="B8" s="141" t="s">
        <v>4</v>
      </c>
      <c r="C8" s="142" t="s">
        <v>11</v>
      </c>
      <c r="D8" s="143" t="s">
        <v>50</v>
      </c>
      <c r="E8" s="143" t="s">
        <v>51</v>
      </c>
      <c r="F8" s="143" t="s">
        <v>52</v>
      </c>
      <c r="G8" s="143" t="s">
        <v>53</v>
      </c>
      <c r="H8" s="143" t="s">
        <v>12</v>
      </c>
      <c r="I8" s="125" t="s">
        <v>3</v>
      </c>
    </row>
    <row r="9" spans="1:9" s="330" customFormat="1" ht="12.75" customHeight="1" x14ac:dyDescent="0.25">
      <c r="A9" s="408" t="s">
        <v>628</v>
      </c>
      <c r="B9" s="409">
        <v>45751</v>
      </c>
      <c r="C9" s="410" t="s">
        <v>107</v>
      </c>
      <c r="D9" s="411">
        <v>236411</v>
      </c>
      <c r="E9" s="412">
        <f>D9</f>
        <v>236411</v>
      </c>
      <c r="F9" s="413"/>
      <c r="G9" s="413"/>
      <c r="H9" s="413">
        <f>E9</f>
        <v>236411</v>
      </c>
      <c r="I9" s="444"/>
    </row>
    <row r="10" spans="1:9" s="330" customFormat="1" ht="12.75" customHeight="1" x14ac:dyDescent="0.25">
      <c r="A10" s="415" t="s">
        <v>938</v>
      </c>
      <c r="B10" s="416">
        <v>45847</v>
      </c>
      <c r="C10" s="417" t="s">
        <v>939</v>
      </c>
      <c r="D10" s="418"/>
      <c r="E10" s="418">
        <f t="shared" ref="E10:E21" si="0">E9+D10</f>
        <v>236411</v>
      </c>
      <c r="F10" s="419">
        <v>157796.79999999999</v>
      </c>
      <c r="G10" s="420">
        <f t="shared" ref="G10:G21" si="1">G9+F10</f>
        <v>157796.79999999999</v>
      </c>
      <c r="H10" s="420">
        <f t="shared" ref="H10:H21" si="2">H9-F10+D10</f>
        <v>78614.200000000012</v>
      </c>
      <c r="I10" s="460" t="s">
        <v>1015</v>
      </c>
    </row>
    <row r="11" spans="1:9" s="330" customFormat="1" ht="12.75" customHeight="1" x14ac:dyDescent="0.25">
      <c r="A11" s="408" t="s">
        <v>1018</v>
      </c>
      <c r="B11" s="409">
        <v>45889</v>
      </c>
      <c r="C11" s="410" t="s">
        <v>1017</v>
      </c>
      <c r="D11" s="411">
        <v>0</v>
      </c>
      <c r="E11" s="412">
        <f t="shared" si="0"/>
        <v>236411</v>
      </c>
      <c r="F11" s="422"/>
      <c r="G11" s="413">
        <f t="shared" si="1"/>
        <v>157796.79999999999</v>
      </c>
      <c r="H11" s="413">
        <f t="shared" si="2"/>
        <v>78614.200000000012</v>
      </c>
      <c r="I11" s="444"/>
    </row>
    <row r="12" spans="1:9" s="330" customFormat="1" ht="12.75" customHeight="1" x14ac:dyDescent="0.25">
      <c r="A12" s="408" t="s">
        <v>1140</v>
      </c>
      <c r="B12" s="409">
        <v>45915</v>
      </c>
      <c r="C12" s="410" t="s">
        <v>1141</v>
      </c>
      <c r="D12" s="412"/>
      <c r="E12" s="412">
        <f t="shared" si="0"/>
        <v>236411</v>
      </c>
      <c r="F12" s="445">
        <v>11402.2</v>
      </c>
      <c r="G12" s="413">
        <f t="shared" si="1"/>
        <v>169199</v>
      </c>
      <c r="H12" s="413">
        <f t="shared" si="2"/>
        <v>67212.000000000015</v>
      </c>
      <c r="I12" s="444"/>
    </row>
    <row r="13" spans="1:9" s="330" customFormat="1" ht="12.75" customHeight="1" x14ac:dyDescent="0.25">
      <c r="A13" s="408" t="s">
        <v>1154</v>
      </c>
      <c r="B13" s="409">
        <v>45916</v>
      </c>
      <c r="C13" s="410" t="s">
        <v>1155</v>
      </c>
      <c r="D13" s="412"/>
      <c r="E13" s="412">
        <f t="shared" si="0"/>
        <v>236411</v>
      </c>
      <c r="F13" s="445">
        <v>10804.5</v>
      </c>
      <c r="G13" s="413">
        <f t="shared" si="1"/>
        <v>180003.5</v>
      </c>
      <c r="H13" s="413">
        <f t="shared" si="2"/>
        <v>56407.500000000015</v>
      </c>
      <c r="I13" s="444"/>
    </row>
    <row r="14" spans="1:9" s="330" customFormat="1" ht="12.75" customHeight="1" x14ac:dyDescent="0.25">
      <c r="A14" s="408" t="s">
        <v>1259</v>
      </c>
      <c r="B14" s="409">
        <v>45945</v>
      </c>
      <c r="C14" s="410" t="s">
        <v>1260</v>
      </c>
      <c r="D14" s="412"/>
      <c r="E14" s="412">
        <f t="shared" si="0"/>
        <v>236411</v>
      </c>
      <c r="F14" s="445">
        <v>1200.5</v>
      </c>
      <c r="G14" s="413">
        <f t="shared" si="1"/>
        <v>181204</v>
      </c>
      <c r="H14" s="413">
        <f t="shared" si="2"/>
        <v>55207.000000000015</v>
      </c>
      <c r="I14" s="444"/>
    </row>
    <row r="15" spans="1:9" s="330" customFormat="1" ht="12.75" customHeight="1" x14ac:dyDescent="0.25">
      <c r="A15" s="408" t="s">
        <v>1328</v>
      </c>
      <c r="B15" s="409">
        <v>45973</v>
      </c>
      <c r="C15" s="410" t="s">
        <v>1329</v>
      </c>
      <c r="D15" s="412"/>
      <c r="E15" s="412">
        <f t="shared" si="0"/>
        <v>236411</v>
      </c>
      <c r="F15" s="445">
        <v>4416.5600000000004</v>
      </c>
      <c r="G15" s="413">
        <f t="shared" si="1"/>
        <v>185620.56</v>
      </c>
      <c r="H15" s="413">
        <f t="shared" si="2"/>
        <v>50790.440000000017</v>
      </c>
      <c r="I15" s="444"/>
    </row>
    <row r="16" spans="1:9" s="330" customFormat="1" ht="12.75" customHeight="1" x14ac:dyDescent="0.25">
      <c r="A16" s="408" t="s">
        <v>1406</v>
      </c>
      <c r="B16" s="409">
        <v>46007</v>
      </c>
      <c r="C16" s="410" t="s">
        <v>1407</v>
      </c>
      <c r="D16" s="412"/>
      <c r="E16" s="412">
        <f t="shared" si="0"/>
        <v>236411</v>
      </c>
      <c r="F16" s="445">
        <v>11041.4</v>
      </c>
      <c r="G16" s="413">
        <f t="shared" si="1"/>
        <v>196661.96</v>
      </c>
      <c r="H16" s="413">
        <f t="shared" si="2"/>
        <v>39749.040000000015</v>
      </c>
      <c r="I16" s="444"/>
    </row>
    <row r="17" spans="1:9" s="330" customFormat="1" ht="12.75" customHeight="1" x14ac:dyDescent="0.25">
      <c r="A17" s="408" t="s">
        <v>1505</v>
      </c>
      <c r="B17" s="409">
        <v>46042</v>
      </c>
      <c r="C17" s="410" t="s">
        <v>1506</v>
      </c>
      <c r="D17" s="412"/>
      <c r="E17" s="412">
        <f t="shared" si="0"/>
        <v>236411</v>
      </c>
      <c r="F17" s="445">
        <v>11041.4</v>
      </c>
      <c r="G17" s="413">
        <f t="shared" si="1"/>
        <v>207703.36</v>
      </c>
      <c r="H17" s="413">
        <f t="shared" si="2"/>
        <v>28707.640000000014</v>
      </c>
      <c r="I17" s="444"/>
    </row>
    <row r="18" spans="1:9" s="330" customFormat="1" ht="12.75" customHeight="1" x14ac:dyDescent="0.25">
      <c r="A18" s="408" t="s">
        <v>1601</v>
      </c>
      <c r="B18" s="409">
        <v>46070</v>
      </c>
      <c r="C18" s="410" t="s">
        <v>1602</v>
      </c>
      <c r="D18" s="412"/>
      <c r="E18" s="412">
        <f t="shared" si="0"/>
        <v>236411</v>
      </c>
      <c r="F18" s="445">
        <v>4416.5600000000004</v>
      </c>
      <c r="G18" s="413">
        <f t="shared" si="1"/>
        <v>212119.91999999998</v>
      </c>
      <c r="H18" s="413">
        <f t="shared" si="2"/>
        <v>24291.080000000013</v>
      </c>
      <c r="I18" s="444"/>
    </row>
    <row r="19" spans="1:9" s="330" customFormat="1" ht="12.75" customHeight="1" x14ac:dyDescent="0.25">
      <c r="A19" s="408" t="s">
        <v>1707</v>
      </c>
      <c r="B19" s="409">
        <v>46101</v>
      </c>
      <c r="C19" s="410" t="s">
        <v>1708</v>
      </c>
      <c r="D19" s="412"/>
      <c r="E19" s="412">
        <f t="shared" si="0"/>
        <v>236411</v>
      </c>
      <c r="F19" s="445">
        <v>2208.2800000000002</v>
      </c>
      <c r="G19" s="413">
        <f t="shared" si="1"/>
        <v>214328.19999999998</v>
      </c>
      <c r="H19" s="413">
        <f t="shared" si="2"/>
        <v>22082.800000000014</v>
      </c>
      <c r="I19" s="444"/>
    </row>
    <row r="20" spans="1:9" s="330" customFormat="1" ht="12.75" customHeight="1" x14ac:dyDescent="0.25">
      <c r="A20" s="408" t="s">
        <v>1785</v>
      </c>
      <c r="B20" s="409">
        <v>46132</v>
      </c>
      <c r="C20" s="410" t="s">
        <v>1786</v>
      </c>
      <c r="D20" s="412"/>
      <c r="E20" s="412">
        <f t="shared" si="0"/>
        <v>236411</v>
      </c>
      <c r="F20" s="445">
        <v>5520.7</v>
      </c>
      <c r="G20" s="413">
        <f t="shared" si="1"/>
        <v>219848.9</v>
      </c>
      <c r="H20" s="413">
        <f t="shared" si="2"/>
        <v>16562.100000000013</v>
      </c>
      <c r="I20" s="444"/>
    </row>
    <row r="21" spans="1:9" s="330" customFormat="1" ht="12.75" customHeight="1" x14ac:dyDescent="0.25">
      <c r="A21" s="408"/>
      <c r="B21" s="409"/>
      <c r="C21" s="423"/>
      <c r="D21" s="412"/>
      <c r="E21" s="412">
        <f t="shared" si="0"/>
        <v>236411</v>
      </c>
      <c r="F21" s="413"/>
      <c r="G21" s="413">
        <f t="shared" si="1"/>
        <v>219848.9</v>
      </c>
      <c r="H21" s="413">
        <f t="shared" si="2"/>
        <v>16562.100000000013</v>
      </c>
      <c r="I21" s="44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54</v>
      </c>
      <c r="D23" s="426">
        <f>SUM(D9:D22)</f>
        <v>236411</v>
      </c>
      <c r="E23" s="426"/>
      <c r="F23" s="426">
        <f>SUM(F9:F22)</f>
        <v>219848.9</v>
      </c>
      <c r="G23" s="426"/>
      <c r="H23" s="426">
        <f>D23-F23</f>
        <v>16562.100000000006</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631</v>
      </c>
      <c r="D26" s="413"/>
      <c r="E26" s="413"/>
      <c r="F26" s="413"/>
      <c r="G26" s="413"/>
      <c r="H26" s="413"/>
      <c r="I26" s="414"/>
    </row>
    <row r="27" spans="1:9" s="330" customFormat="1" ht="12.75" customHeight="1" x14ac:dyDescent="0.25">
      <c r="A27" s="408"/>
      <c r="B27" s="410"/>
      <c r="C27" s="425" t="s">
        <v>299</v>
      </c>
      <c r="D27" s="413">
        <v>17315</v>
      </c>
      <c r="E27" s="413"/>
      <c r="F27" s="413">
        <f>17315</f>
        <v>17315</v>
      </c>
      <c r="G27" s="413"/>
      <c r="H27" s="413">
        <f>D27-F27</f>
        <v>0</v>
      </c>
      <c r="I27" s="414"/>
    </row>
    <row r="28" spans="1:9" s="330" customFormat="1" ht="12.75" customHeight="1" x14ac:dyDescent="0.25">
      <c r="A28" s="408"/>
      <c r="B28" s="410"/>
      <c r="C28" s="425" t="s">
        <v>175</v>
      </c>
      <c r="D28" s="413">
        <v>48975</v>
      </c>
      <c r="E28" s="413"/>
      <c r="F28" s="413">
        <f>44077.5+4897.5</f>
        <v>48975</v>
      </c>
      <c r="G28" s="413"/>
      <c r="H28" s="413">
        <f>D28-F28</f>
        <v>0</v>
      </c>
      <c r="I28" s="414"/>
    </row>
    <row r="29" spans="1:9" s="330" customFormat="1" ht="12.75" customHeight="1" x14ac:dyDescent="0.25">
      <c r="A29" s="408"/>
      <c r="B29" s="410"/>
      <c r="C29" s="425" t="s">
        <v>629</v>
      </c>
      <c r="D29" s="413">
        <v>7020</v>
      </c>
      <c r="E29" s="413"/>
      <c r="F29" s="413">
        <f>6318+702</f>
        <v>7020</v>
      </c>
      <c r="G29" s="413"/>
      <c r="H29" s="413">
        <f>D29-F29</f>
        <v>0</v>
      </c>
      <c r="I29" s="414"/>
    </row>
    <row r="30" spans="1:9" s="330" customFormat="1" ht="12.75" customHeight="1" x14ac:dyDescent="0.25">
      <c r="A30" s="408"/>
      <c r="B30" s="410"/>
      <c r="C30" s="425" t="s">
        <v>630</v>
      </c>
      <c r="D30" s="413">
        <v>29120</v>
      </c>
      <c r="E30" s="413"/>
      <c r="F30" s="413">
        <f>2329.6+5824+5824+2329.6+1164.8+2912</f>
        <v>20384</v>
      </c>
      <c r="G30" s="413"/>
      <c r="H30" s="413">
        <f>D30-F30</f>
        <v>8736</v>
      </c>
      <c r="I30" s="414"/>
    </row>
    <row r="31" spans="1:9" s="330" customFormat="1" ht="12.75" customHeight="1" thickBot="1" x14ac:dyDescent="0.3">
      <c r="A31" s="408"/>
      <c r="B31" s="410"/>
      <c r="C31" s="424" t="s">
        <v>555</v>
      </c>
      <c r="D31" s="426">
        <f>SUM(D27:D30)</f>
        <v>102430</v>
      </c>
      <c r="E31" s="427"/>
      <c r="F31" s="426">
        <f>SUM(F27:F30)</f>
        <v>93694</v>
      </c>
      <c r="G31" s="427"/>
      <c r="H31" s="426">
        <f>SUM(H27:H30)</f>
        <v>8736</v>
      </c>
      <c r="I31" s="414"/>
    </row>
    <row r="32" spans="1:9" s="330" customFormat="1" ht="12.75" customHeight="1" thickTop="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5" t="s">
        <v>632</v>
      </c>
      <c r="D34" s="413"/>
      <c r="E34" s="413"/>
      <c r="F34" s="413"/>
      <c r="G34" s="413"/>
      <c r="H34" s="413"/>
      <c r="I34" s="414"/>
    </row>
    <row r="35" spans="1:9" s="330" customFormat="1" ht="12.75" customHeight="1" x14ac:dyDescent="0.25">
      <c r="A35" s="408"/>
      <c r="B35" s="410"/>
      <c r="C35" s="425" t="s">
        <v>299</v>
      </c>
      <c r="D35" s="413">
        <v>5885</v>
      </c>
      <c r="E35" s="413"/>
      <c r="F35" s="413">
        <f>5885</f>
        <v>5885</v>
      </c>
      <c r="G35" s="413"/>
      <c r="H35" s="413">
        <f>D35-F35</f>
        <v>0</v>
      </c>
      <c r="I35" s="414"/>
    </row>
    <row r="36" spans="1:9" s="330" customFormat="1" ht="12.75" customHeight="1" x14ac:dyDescent="0.25">
      <c r="A36" s="408"/>
      <c r="B36" s="410"/>
      <c r="C36" s="425" t="s">
        <v>175</v>
      </c>
      <c r="D36" s="413">
        <v>16650</v>
      </c>
      <c r="E36" s="413"/>
      <c r="F36" s="413">
        <f>14985+1665</f>
        <v>16650</v>
      </c>
      <c r="G36" s="413"/>
      <c r="H36" s="413">
        <f>D36-F36</f>
        <v>0</v>
      </c>
      <c r="I36" s="414"/>
    </row>
    <row r="37" spans="1:9" s="330" customFormat="1" ht="12.75" customHeight="1" x14ac:dyDescent="0.25">
      <c r="A37" s="408"/>
      <c r="B37" s="410"/>
      <c r="C37" s="425" t="s">
        <v>629</v>
      </c>
      <c r="D37" s="413">
        <v>1480</v>
      </c>
      <c r="E37" s="413"/>
      <c r="F37" s="413">
        <f>1332+148</f>
        <v>1480</v>
      </c>
      <c r="G37" s="413"/>
      <c r="H37" s="413">
        <f>D37-F37</f>
        <v>0</v>
      </c>
      <c r="I37" s="414"/>
    </row>
    <row r="38" spans="1:9" s="330" customFormat="1" ht="12.75" customHeight="1" x14ac:dyDescent="0.25">
      <c r="A38" s="408"/>
      <c r="B38" s="410"/>
      <c r="C38" s="425" t="s">
        <v>630</v>
      </c>
      <c r="D38" s="413">
        <v>3975</v>
      </c>
      <c r="E38" s="413"/>
      <c r="F38" s="413">
        <f>318+795+795+318+159+397.5</f>
        <v>2782.5</v>
      </c>
      <c r="G38" s="413"/>
      <c r="H38" s="413">
        <f>D38-F38</f>
        <v>1192.5</v>
      </c>
      <c r="I38" s="414"/>
    </row>
    <row r="39" spans="1:9" s="330" customFormat="1" ht="12.75" customHeight="1" thickBot="1" x14ac:dyDescent="0.3">
      <c r="A39" s="408"/>
      <c r="B39" s="410"/>
      <c r="C39" s="424" t="s">
        <v>555</v>
      </c>
      <c r="D39" s="426">
        <f>SUM(D35:D38)</f>
        <v>27990</v>
      </c>
      <c r="E39" s="427"/>
      <c r="F39" s="426">
        <f>SUM(F35:F38)</f>
        <v>26797.5</v>
      </c>
      <c r="G39" s="427"/>
      <c r="H39" s="426">
        <f>SUM(H35:H38)</f>
        <v>1192.5</v>
      </c>
      <c r="I39" s="414"/>
    </row>
    <row r="40" spans="1:9" s="330" customFormat="1" ht="12.75" customHeight="1" thickTop="1" x14ac:dyDescent="0.25">
      <c r="A40" s="408"/>
      <c r="B40" s="410"/>
      <c r="C40" s="425"/>
      <c r="D40" s="459"/>
      <c r="E40" s="408"/>
      <c r="F40" s="461"/>
      <c r="G40" s="461"/>
      <c r="H40" s="459"/>
      <c r="I40" s="414"/>
    </row>
    <row r="41" spans="1:9" s="330" customFormat="1" ht="12.75" customHeight="1" x14ac:dyDescent="0.25">
      <c r="A41" s="408"/>
      <c r="B41" s="410"/>
      <c r="C41" s="425"/>
      <c r="D41" s="459"/>
      <c r="E41" s="408"/>
      <c r="F41" s="461"/>
      <c r="G41" s="461"/>
      <c r="H41" s="459"/>
      <c r="I41" s="414"/>
    </row>
    <row r="42" spans="1:9" s="330" customFormat="1" ht="12.75" customHeight="1" x14ac:dyDescent="0.25">
      <c r="A42" s="408"/>
      <c r="B42" s="410"/>
      <c r="C42" s="425" t="s">
        <v>633</v>
      </c>
      <c r="D42" s="413"/>
      <c r="E42" s="413"/>
      <c r="F42" s="413"/>
      <c r="G42" s="413"/>
      <c r="H42" s="413"/>
      <c r="I42" s="414"/>
    </row>
    <row r="43" spans="1:9" s="330" customFormat="1" ht="12.75" customHeight="1" x14ac:dyDescent="0.25">
      <c r="A43" s="408"/>
      <c r="B43" s="410"/>
      <c r="C43" s="425" t="s">
        <v>299</v>
      </c>
      <c r="D43" s="413">
        <v>3627</v>
      </c>
      <c r="E43" s="413"/>
      <c r="F43" s="413">
        <f>3627</f>
        <v>3627</v>
      </c>
      <c r="G43" s="413"/>
      <c r="H43" s="413">
        <f>D43-F43</f>
        <v>0</v>
      </c>
      <c r="I43" s="414"/>
    </row>
    <row r="44" spans="1:9" s="330" customFormat="1" ht="12.75" customHeight="1" x14ac:dyDescent="0.25">
      <c r="A44" s="408"/>
      <c r="B44" s="410"/>
      <c r="C44" s="425" t="s">
        <v>175</v>
      </c>
      <c r="D44" s="413">
        <v>5707</v>
      </c>
      <c r="E44" s="413"/>
      <c r="F44" s="413">
        <f>5136.3+570.7</f>
        <v>5707</v>
      </c>
      <c r="G44" s="413"/>
      <c r="H44" s="413">
        <f>D44-F44</f>
        <v>0</v>
      </c>
      <c r="I44" s="414"/>
    </row>
    <row r="45" spans="1:9" s="330" customFormat="1" ht="12.75" customHeight="1" x14ac:dyDescent="0.25">
      <c r="A45" s="451"/>
      <c r="B45" s="452"/>
      <c r="C45" s="425" t="s">
        <v>629</v>
      </c>
      <c r="D45" s="413">
        <v>665</v>
      </c>
      <c r="E45" s="413"/>
      <c r="F45" s="413">
        <f>598.5+66.5</f>
        <v>665</v>
      </c>
      <c r="G45" s="413"/>
      <c r="H45" s="413">
        <f>D45-F45</f>
        <v>0</v>
      </c>
      <c r="I45" s="414"/>
    </row>
    <row r="46" spans="1:9" s="330" customFormat="1" ht="12.75" customHeight="1" x14ac:dyDescent="0.25">
      <c r="A46" s="451"/>
      <c r="B46" s="452"/>
      <c r="C46" s="425" t="s">
        <v>630</v>
      </c>
      <c r="D46" s="413">
        <v>3512</v>
      </c>
      <c r="E46" s="413"/>
      <c r="F46" s="413">
        <f>280.96+702.4+702.4+280.96+140.48+351.2</f>
        <v>2458.3999999999996</v>
      </c>
      <c r="G46" s="413"/>
      <c r="H46" s="413">
        <f>D46-F46</f>
        <v>1053.6000000000004</v>
      </c>
      <c r="I46" s="414"/>
    </row>
    <row r="47" spans="1:9" s="330" customFormat="1" ht="12.75" customHeight="1" thickBot="1" x14ac:dyDescent="0.3">
      <c r="A47" s="451"/>
      <c r="B47" s="452"/>
      <c r="C47" s="424" t="s">
        <v>555</v>
      </c>
      <c r="D47" s="426">
        <f>SUM(D43:D46)</f>
        <v>13511</v>
      </c>
      <c r="E47" s="427"/>
      <c r="F47" s="426">
        <f>SUM(F43:F46)</f>
        <v>12457.4</v>
      </c>
      <c r="G47" s="427"/>
      <c r="H47" s="426">
        <f>SUM(H43:H46)</f>
        <v>1053.6000000000004</v>
      </c>
      <c r="I47" s="414"/>
    </row>
    <row r="48" spans="1:9" s="330" customFormat="1" ht="12.75" customHeight="1" thickTop="1" x14ac:dyDescent="0.25">
      <c r="A48" s="451"/>
      <c r="B48" s="452"/>
      <c r="C48" s="453"/>
      <c r="D48" s="414"/>
      <c r="E48" s="451"/>
      <c r="F48" s="454"/>
      <c r="G48" s="454"/>
      <c r="H48" s="414"/>
      <c r="I48" s="414"/>
    </row>
    <row r="49" spans="1:9" s="330" customFormat="1" ht="12.75" customHeight="1" x14ac:dyDescent="0.25">
      <c r="A49" s="451"/>
      <c r="B49" s="452"/>
      <c r="C49" s="453"/>
      <c r="D49" s="414"/>
      <c r="E49" s="451"/>
      <c r="F49" s="454"/>
      <c r="G49" s="454"/>
      <c r="H49" s="414"/>
      <c r="I49" s="414"/>
    </row>
    <row r="50" spans="1:9" s="330" customFormat="1" ht="12.75" customHeight="1" x14ac:dyDescent="0.25">
      <c r="A50" s="451"/>
      <c r="B50" s="452"/>
      <c r="C50" s="425" t="s">
        <v>634</v>
      </c>
      <c r="D50" s="413"/>
      <c r="E50" s="413"/>
      <c r="F50" s="413"/>
      <c r="G50" s="413"/>
      <c r="H50" s="413"/>
      <c r="I50" s="414"/>
    </row>
    <row r="51" spans="1:9" s="330" customFormat="1" ht="12.75" customHeight="1" x14ac:dyDescent="0.25">
      <c r="A51" s="451"/>
      <c r="B51" s="452"/>
      <c r="C51" s="425" t="s">
        <v>299</v>
      </c>
      <c r="D51" s="413">
        <v>28350</v>
      </c>
      <c r="E51" s="413"/>
      <c r="F51" s="413">
        <f>28350</f>
        <v>28350</v>
      </c>
      <c r="G51" s="413"/>
      <c r="H51" s="413">
        <f>D51-F51</f>
        <v>0</v>
      </c>
      <c r="I51" s="414"/>
    </row>
    <row r="52" spans="1:9" s="330" customFormat="1" ht="12.75" customHeight="1" x14ac:dyDescent="0.25">
      <c r="A52" s="451"/>
      <c r="B52" s="452"/>
      <c r="C52" s="425" t="s">
        <v>175</v>
      </c>
      <c r="D52" s="413">
        <v>42690</v>
      </c>
      <c r="E52" s="413"/>
      <c r="F52" s="413">
        <f>38421+4269</f>
        <v>42690</v>
      </c>
      <c r="G52" s="413"/>
      <c r="H52" s="413">
        <f>D52-F52</f>
        <v>0</v>
      </c>
      <c r="I52" s="414"/>
    </row>
    <row r="53" spans="1:9" s="330" customFormat="1" ht="12.75" customHeight="1" x14ac:dyDescent="0.25">
      <c r="A53" s="451"/>
      <c r="B53" s="452"/>
      <c r="C53" s="425" t="s">
        <v>629</v>
      </c>
      <c r="D53" s="413">
        <v>2840</v>
      </c>
      <c r="E53" s="413"/>
      <c r="F53" s="413">
        <f>2556+284</f>
        <v>2840</v>
      </c>
      <c r="G53" s="413"/>
      <c r="H53" s="413">
        <f>D53-F53</f>
        <v>0</v>
      </c>
      <c r="I53" s="414"/>
    </row>
    <row r="54" spans="1:9" s="330" customFormat="1" ht="12.75" customHeight="1" x14ac:dyDescent="0.25">
      <c r="A54" s="451"/>
      <c r="B54" s="452"/>
      <c r="C54" s="425" t="s">
        <v>630</v>
      </c>
      <c r="D54" s="413">
        <v>18600</v>
      </c>
      <c r="E54" s="413"/>
      <c r="F54" s="413">
        <f>1488+3720+3720+1488+744+1860</f>
        <v>13020</v>
      </c>
      <c r="G54" s="413"/>
      <c r="H54" s="413">
        <f>D54-F54</f>
        <v>5580</v>
      </c>
      <c r="I54" s="414"/>
    </row>
    <row r="55" spans="1:9" s="330" customFormat="1" ht="12.75" customHeight="1" thickBot="1" x14ac:dyDescent="0.3">
      <c r="A55" s="451"/>
      <c r="B55" s="452"/>
      <c r="C55" s="427" t="s">
        <v>555</v>
      </c>
      <c r="D55" s="426">
        <f>SUM(D51:D54)</f>
        <v>92480</v>
      </c>
      <c r="E55" s="427"/>
      <c r="F55" s="426">
        <f>SUM(F51:F54)</f>
        <v>86900</v>
      </c>
      <c r="G55" s="427"/>
      <c r="H55" s="426">
        <f>SUM(H51:H54)</f>
        <v>5580</v>
      </c>
      <c r="I55" s="414"/>
    </row>
    <row r="56" spans="1:9" s="330" customFormat="1" ht="12.75" customHeight="1" thickTop="1" x14ac:dyDescent="0.25">
      <c r="A56" s="451"/>
      <c r="B56" s="452"/>
      <c r="C56" s="453"/>
      <c r="D56" s="414"/>
      <c r="E56" s="451"/>
      <c r="F56" s="454"/>
      <c r="G56" s="454"/>
      <c r="H56" s="414"/>
      <c r="I56" s="414"/>
    </row>
    <row r="57" spans="1:9" s="330" customFormat="1" ht="12.75" customHeight="1" x14ac:dyDescent="0.25">
      <c r="A57" s="451"/>
      <c r="B57" s="452"/>
      <c r="C57" s="453"/>
      <c r="D57" s="414"/>
      <c r="E57" s="451"/>
      <c r="F57" s="454"/>
      <c r="G57" s="454"/>
      <c r="H57" s="414"/>
      <c r="I57" s="414"/>
    </row>
    <row r="58" spans="1:9" s="330" customFormat="1" ht="12.75" customHeight="1" thickBot="1" x14ac:dyDescent="0.3">
      <c r="A58" s="451"/>
      <c r="B58" s="452"/>
      <c r="C58" s="424" t="s">
        <v>799</v>
      </c>
      <c r="D58" s="426">
        <f>SUM(D31,D39,D47,D55)</f>
        <v>236411</v>
      </c>
      <c r="E58" s="451"/>
      <c r="F58" s="426">
        <f>SUM(F31,F39,F47,F55)</f>
        <v>219848.9</v>
      </c>
      <c r="G58" s="454"/>
      <c r="H58" s="426">
        <f>SUM(H31,H39,H47,H55)</f>
        <v>16562.099999999999</v>
      </c>
      <c r="I58" s="414"/>
    </row>
    <row r="59" spans="1:9" s="330" customFormat="1" ht="12.75" customHeight="1" thickTop="1" x14ac:dyDescent="0.25"/>
    <row r="60" spans="1:9" s="330" customFormat="1" ht="12.75" customHeight="1" x14ac:dyDescent="0.25"/>
    <row r="61" spans="1:9" s="330" customFormat="1" ht="12.75" customHeight="1" x14ac:dyDescent="0.25"/>
    <row r="62" spans="1:9" s="330"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79">
    <tabColor rgb="FF0070C0"/>
    <pageSetUpPr fitToPage="1"/>
  </sheetPr>
  <dimension ref="A1:H25"/>
  <sheetViews>
    <sheetView tabSelected="1" zoomScaleNormal="100" workbookViewId="0">
      <selection activeCell="C38" sqref="C38"/>
    </sheetView>
  </sheetViews>
  <sheetFormatPr defaultRowHeight="15" customHeight="1" x14ac:dyDescent="0.25"/>
  <cols>
    <col min="1" max="1" width="15.5703125" customWidth="1"/>
    <col min="2" max="2" width="20.5703125" customWidth="1"/>
    <col min="3" max="3" width="12.42578125" bestFit="1" customWidth="1"/>
    <col min="4" max="4" width="41.5703125" customWidth="1"/>
    <col min="5" max="5" width="19.28515625" customWidth="1"/>
    <col min="6" max="6" width="10.42578125" bestFit="1" customWidth="1"/>
    <col min="7" max="8" width="12.42578125" bestFit="1" customWidth="1"/>
    <col min="9" max="11" width="9.140625" customWidth="1"/>
  </cols>
  <sheetData>
    <row r="1" spans="1:8" x14ac:dyDescent="0.25">
      <c r="A1" s="267" t="str">
        <f>'RECAP #9366.00'!B1</f>
        <v>DOC NCCF IPI Sally Port Vehicle Gate</v>
      </c>
      <c r="B1" s="268"/>
      <c r="C1" s="269"/>
      <c r="D1" s="270"/>
      <c r="E1" s="270"/>
      <c r="F1" s="268"/>
      <c r="G1" s="268"/>
      <c r="H1" s="268"/>
    </row>
    <row r="2" spans="1:8" x14ac:dyDescent="0.25">
      <c r="A2" s="271" t="str">
        <f>'RECAP #9366.00'!B2</f>
        <v>Project # 9366.00</v>
      </c>
      <c r="B2" s="268"/>
      <c r="C2" s="272" t="s">
        <v>3</v>
      </c>
      <c r="D2" s="273"/>
      <c r="E2" s="273"/>
      <c r="F2" s="268"/>
      <c r="G2" s="268"/>
      <c r="H2" s="268"/>
    </row>
    <row r="3" spans="1:8" x14ac:dyDescent="0.25">
      <c r="A3" s="274" t="str">
        <f>'RECAP #9366.00'!B3</f>
        <v>Program code 936600</v>
      </c>
      <c r="B3" s="268"/>
      <c r="C3" s="272" t="s">
        <v>3</v>
      </c>
      <c r="D3" s="275" t="str">
        <f>'RECAP #9366.00'!E3</f>
        <v>Major Program 4B01</v>
      </c>
      <c r="E3" s="270"/>
      <c r="F3" s="268"/>
      <c r="G3" s="268"/>
      <c r="H3" s="268"/>
    </row>
    <row r="4" spans="1:8" ht="15.75" x14ac:dyDescent="0.25">
      <c r="A4" s="109" t="s">
        <v>44</v>
      </c>
      <c r="B4" s="276" t="s">
        <v>3</v>
      </c>
      <c r="C4" s="270"/>
      <c r="D4" s="270"/>
      <c r="E4" s="270"/>
      <c r="F4" s="268"/>
      <c r="G4" s="268"/>
      <c r="H4" s="268"/>
    </row>
    <row r="5" spans="1:8" x14ac:dyDescent="0.25">
      <c r="A5" s="263" t="s">
        <v>443</v>
      </c>
      <c r="B5" s="277"/>
      <c r="C5" s="278"/>
      <c r="D5" s="279"/>
      <c r="E5" s="268"/>
      <c r="F5" s="268"/>
      <c r="G5" s="268"/>
      <c r="H5" s="268"/>
    </row>
    <row r="6" spans="1:8" x14ac:dyDescent="0.25">
      <c r="A6" s="280" t="str">
        <f>'RECAP #9366.00'!B6</f>
        <v>Project Manager - Jennie E.</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x14ac:dyDescent="0.25">
      <c r="A9" s="291"/>
      <c r="B9" s="292"/>
      <c r="C9" s="293"/>
      <c r="D9" s="354" t="s">
        <v>73</v>
      </c>
      <c r="E9" s="354" t="s">
        <v>795</v>
      </c>
      <c r="F9" s="355">
        <v>45806</v>
      </c>
      <c r="G9" s="356">
        <v>48000</v>
      </c>
      <c r="H9" s="356">
        <v>48000</v>
      </c>
    </row>
    <row r="10" spans="1:8" ht="12.75" customHeight="1" x14ac:dyDescent="0.25">
      <c r="A10" s="291"/>
      <c r="B10" s="291"/>
      <c r="C10" s="298"/>
      <c r="D10" s="354" t="s">
        <v>995</v>
      </c>
      <c r="E10" s="351" t="s">
        <v>1001</v>
      </c>
      <c r="F10" s="351">
        <v>45881</v>
      </c>
      <c r="G10" s="407">
        <v>-48000</v>
      </c>
      <c r="H10" s="407">
        <v>-48000</v>
      </c>
    </row>
    <row r="11" spans="1:8" ht="12.75" customHeight="1" x14ac:dyDescent="0.25">
      <c r="A11" s="300"/>
      <c r="B11" s="298"/>
      <c r="C11" s="301"/>
      <c r="D11" s="354" t="s">
        <v>1057</v>
      </c>
      <c r="E11" s="351" t="s">
        <v>1058</v>
      </c>
      <c r="F11" s="351">
        <v>45896</v>
      </c>
      <c r="G11" s="406">
        <v>48000</v>
      </c>
      <c r="H11" s="406">
        <v>48000</v>
      </c>
    </row>
    <row r="12" spans="1:8" ht="12.75" customHeight="1" x14ac:dyDescent="0.25">
      <c r="A12" s="300"/>
      <c r="B12" s="298"/>
      <c r="C12" s="303"/>
      <c r="D12" s="354" t="s">
        <v>840</v>
      </c>
      <c r="E12" s="351" t="s">
        <v>1349</v>
      </c>
      <c r="F12" s="351">
        <v>45978</v>
      </c>
      <c r="G12" s="407">
        <v>-6365.95</v>
      </c>
      <c r="H12" s="407">
        <v>-6365.95</v>
      </c>
    </row>
    <row r="13" spans="1:8" ht="12.75" customHeight="1" x14ac:dyDescent="0.25">
      <c r="A13" s="201"/>
      <c r="B13" s="304"/>
      <c r="C13" s="303"/>
      <c r="D13" s="354"/>
      <c r="E13" s="361"/>
      <c r="F13" s="351"/>
      <c r="G13" s="367"/>
      <c r="H13" s="363"/>
    </row>
    <row r="14" spans="1:8" ht="12.75" customHeight="1" x14ac:dyDescent="0.25">
      <c r="A14" s="300"/>
      <c r="B14" s="277"/>
      <c r="C14" s="303"/>
      <c r="D14" s="357"/>
      <c r="E14" s="277"/>
      <c r="F14" s="291"/>
      <c r="G14" s="302"/>
      <c r="H14" s="297"/>
    </row>
    <row r="15" spans="1:8" ht="12.75" customHeight="1" x14ac:dyDescent="0.25">
      <c r="A15" s="300"/>
      <c r="B15" s="277"/>
      <c r="C15" s="278"/>
      <c r="D15" s="279"/>
      <c r="E15" s="304"/>
      <c r="F15" s="306"/>
      <c r="G15" s="296"/>
      <c r="H15" s="296"/>
    </row>
    <row r="16" spans="1:8" ht="12.75" customHeight="1" x14ac:dyDescent="0.25">
      <c r="A16" s="300"/>
      <c r="B16" s="277"/>
      <c r="C16" s="278" t="s">
        <v>3</v>
      </c>
      <c r="D16" s="279"/>
      <c r="E16" s="277"/>
      <c r="F16" s="306"/>
      <c r="G16" s="296"/>
      <c r="H16" s="296"/>
    </row>
    <row r="17" spans="1:8" ht="12.75" customHeight="1" x14ac:dyDescent="0.25">
      <c r="A17" s="300"/>
      <c r="B17" s="277"/>
      <c r="C17" s="278"/>
      <c r="D17" s="279"/>
      <c r="E17" s="277"/>
      <c r="F17" s="306"/>
      <c r="G17" s="307"/>
      <c r="H17" s="278"/>
    </row>
    <row r="18" spans="1:8" ht="12.75" customHeight="1" x14ac:dyDescent="0.25">
      <c r="A18" s="300"/>
      <c r="B18" s="266"/>
      <c r="C18" s="278"/>
      <c r="D18" s="279"/>
      <c r="E18" s="277"/>
      <c r="F18" s="306"/>
      <c r="G18" s="296"/>
      <c r="H18" s="296"/>
    </row>
    <row r="19" spans="1:8" ht="12.75" customHeight="1" x14ac:dyDescent="0.25">
      <c r="A19" s="300"/>
      <c r="B19" s="277"/>
      <c r="C19" s="278"/>
      <c r="D19" s="279"/>
      <c r="E19" s="277"/>
      <c r="F19" s="306"/>
      <c r="G19" s="296"/>
      <c r="H19" s="296"/>
    </row>
    <row r="20" spans="1:8" ht="12.75" customHeight="1" x14ac:dyDescent="0.25">
      <c r="A20" s="300"/>
      <c r="B20" s="277"/>
      <c r="C20" s="278"/>
      <c r="D20" s="279"/>
      <c r="E20" s="277"/>
      <c r="F20" s="306"/>
      <c r="G20" s="307"/>
      <c r="H20" s="278"/>
    </row>
    <row r="21" spans="1:8" ht="12.75" customHeight="1" x14ac:dyDescent="0.25">
      <c r="A21" s="300"/>
      <c r="B21" s="277"/>
      <c r="C21" s="278"/>
      <c r="D21" s="279"/>
      <c r="E21" s="277"/>
      <c r="F21" s="306"/>
      <c r="G21" s="307"/>
      <c r="H21" s="278"/>
    </row>
    <row r="22" spans="1:8" ht="12.75" customHeight="1" x14ac:dyDescent="0.25">
      <c r="A22" s="300"/>
      <c r="B22" s="277"/>
      <c r="C22" s="278"/>
      <c r="D22" s="279"/>
      <c r="E22" s="277"/>
      <c r="F22" s="300"/>
      <c r="G22" s="296"/>
      <c r="H22" s="296"/>
    </row>
    <row r="23" spans="1:8" ht="12.75" customHeight="1"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41634.050000000003</v>
      </c>
      <c r="H24" s="208">
        <f>SUM(H9:H23)</f>
        <v>41634.050000000003</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0">
    <tabColor rgb="FF0070C0"/>
    <pageSetUpPr fitToPage="1"/>
  </sheetPr>
  <dimension ref="A1:I28"/>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42" customWidth="1"/>
    <col min="4" max="4" width="14.42578125" customWidth="1"/>
    <col min="5" max="5" width="13.5703125" customWidth="1"/>
    <col min="6" max="6" width="12.42578125" customWidth="1"/>
    <col min="7" max="7" width="10.5703125" customWidth="1"/>
    <col min="8" max="8" width="11.28515625" bestFit="1" customWidth="1"/>
    <col min="11" max="11" width="11.42578125" customWidth="1"/>
  </cols>
  <sheetData>
    <row r="1" spans="1:9" ht="15.75" x14ac:dyDescent="0.25">
      <c r="A1" s="109" t="str">
        <f>'RECAP #9366.00'!B1</f>
        <v>DOC NCCF IPI Sally Port Vehicle Gate</v>
      </c>
      <c r="B1" s="109"/>
      <c r="C1" s="179"/>
      <c r="D1" s="179"/>
      <c r="E1" s="179"/>
      <c r="F1" s="180"/>
      <c r="G1" s="180"/>
      <c r="H1" s="181"/>
      <c r="I1" s="181"/>
    </row>
    <row r="2" spans="1:9" ht="15.75" x14ac:dyDescent="0.25">
      <c r="A2" s="126" t="str">
        <f>'RECAP #9366.00'!B2</f>
        <v>Project # 9366.00</v>
      </c>
      <c r="B2" s="182"/>
      <c r="C2" s="179"/>
      <c r="D2" s="179"/>
      <c r="E2" s="179"/>
      <c r="F2" s="180"/>
      <c r="G2" s="180"/>
      <c r="H2" s="181"/>
      <c r="I2" s="181"/>
    </row>
    <row r="3" spans="1:9" ht="15.75" x14ac:dyDescent="0.25">
      <c r="A3" s="183" t="str">
        <f>'RECAP #9366.00'!B3</f>
        <v>Program code 936600</v>
      </c>
      <c r="B3" s="182"/>
      <c r="C3" s="179"/>
      <c r="D3" s="184" t="str">
        <f>'RECAP #9366.00'!E3</f>
        <v>Major Program 4B01</v>
      </c>
      <c r="E3" s="179"/>
      <c r="F3" s="180"/>
      <c r="G3" s="180"/>
      <c r="H3" s="181"/>
      <c r="I3" s="181"/>
    </row>
    <row r="4" spans="1:9" ht="15.75" x14ac:dyDescent="0.25">
      <c r="A4" s="109" t="s">
        <v>1169</v>
      </c>
      <c r="B4" s="126"/>
      <c r="C4" s="181"/>
      <c r="D4" s="185" t="s">
        <v>1170</v>
      </c>
      <c r="E4" s="180"/>
      <c r="F4" s="180"/>
      <c r="G4" s="180"/>
      <c r="H4" s="181"/>
      <c r="I4" s="181"/>
    </row>
    <row r="5" spans="1:9" ht="15.75" x14ac:dyDescent="0.25">
      <c r="A5" s="186" t="s">
        <v>109</v>
      </c>
      <c r="B5" s="181"/>
      <c r="C5" s="187"/>
      <c r="D5" s="132" t="s">
        <v>1171</v>
      </c>
      <c r="E5" s="137"/>
      <c r="F5" s="180"/>
      <c r="G5" s="180"/>
      <c r="H5" s="181"/>
      <c r="I5" s="181"/>
    </row>
    <row r="6" spans="1:9" ht="15.75" x14ac:dyDescent="0.25">
      <c r="A6" s="126" t="str">
        <f>'RECAP #9366.00'!B6</f>
        <v>Project Manager - Jennie E.</v>
      </c>
      <c r="B6" s="126"/>
      <c r="C6" s="188"/>
      <c r="D6" s="189" t="s">
        <v>112</v>
      </c>
      <c r="E6" s="137"/>
      <c r="F6" s="138"/>
      <c r="G6" s="180"/>
      <c r="H6" s="181"/>
      <c r="I6" s="181"/>
    </row>
    <row r="7" spans="1:9" ht="15.75" x14ac:dyDescent="0.25">
      <c r="A7" s="181"/>
      <c r="B7" s="190"/>
      <c r="C7" s="190"/>
      <c r="D7" s="181" t="s">
        <v>1173</v>
      </c>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335" t="s">
        <v>1176</v>
      </c>
    </row>
    <row r="9" spans="1:9" x14ac:dyDescent="0.25">
      <c r="A9" s="195" t="s">
        <v>1172</v>
      </c>
      <c r="B9" s="196">
        <v>45917</v>
      </c>
      <c r="C9" s="197" t="s">
        <v>1814</v>
      </c>
      <c r="D9" s="404">
        <v>40868</v>
      </c>
      <c r="E9" s="199">
        <f>D9</f>
        <v>40868</v>
      </c>
      <c r="F9" s="200"/>
      <c r="G9" s="200"/>
      <c r="H9" s="200">
        <f>E9</f>
        <v>40868</v>
      </c>
      <c r="I9" s="137"/>
    </row>
    <row r="10" spans="1:9" x14ac:dyDescent="0.25">
      <c r="A10" s="195" t="s">
        <v>1192</v>
      </c>
      <c r="B10" s="196">
        <v>45922</v>
      </c>
      <c r="C10" s="197" t="s">
        <v>1193</v>
      </c>
      <c r="D10" s="199"/>
      <c r="E10" s="199">
        <f t="shared" ref="E10:E21" si="0">E9+D10</f>
        <v>40868</v>
      </c>
      <c r="F10" s="203">
        <v>38824.6</v>
      </c>
      <c r="G10" s="200">
        <f t="shared" ref="G10:G21" si="1">G9+F10</f>
        <v>38824.6</v>
      </c>
      <c r="H10" s="200">
        <f t="shared" ref="H10:H21" si="2">H9-F10+D10</f>
        <v>2043.4000000000015</v>
      </c>
      <c r="I10" s="203">
        <v>2043.4</v>
      </c>
    </row>
    <row r="11" spans="1:9" x14ac:dyDescent="0.25">
      <c r="A11" s="195" t="s">
        <v>1255</v>
      </c>
      <c r="B11" s="196">
        <v>45944</v>
      </c>
      <c r="C11" s="197" t="s">
        <v>1256</v>
      </c>
      <c r="D11" s="199"/>
      <c r="E11" s="199">
        <f t="shared" si="0"/>
        <v>40868</v>
      </c>
      <c r="F11" s="203">
        <v>2043.4</v>
      </c>
      <c r="G11" s="200">
        <f t="shared" si="1"/>
        <v>40868</v>
      </c>
      <c r="H11" s="200">
        <f t="shared" si="2"/>
        <v>1.3642420526593924E-12</v>
      </c>
      <c r="I11" s="137"/>
    </row>
    <row r="12" spans="1:9" x14ac:dyDescent="0.25">
      <c r="A12" s="195"/>
      <c r="B12" s="196"/>
      <c r="C12" s="197"/>
      <c r="D12" s="199"/>
      <c r="E12" s="199">
        <f t="shared" si="0"/>
        <v>40868</v>
      </c>
      <c r="F12" s="203"/>
      <c r="G12" s="200">
        <f t="shared" si="1"/>
        <v>40868</v>
      </c>
      <c r="H12" s="200">
        <f t="shared" si="2"/>
        <v>1.3642420526593924E-12</v>
      </c>
      <c r="I12" s="137"/>
    </row>
    <row r="13" spans="1:9" x14ac:dyDescent="0.25">
      <c r="A13" s="195"/>
      <c r="B13" s="196"/>
      <c r="C13" s="197"/>
      <c r="D13" s="199"/>
      <c r="E13" s="199">
        <f t="shared" si="0"/>
        <v>40868</v>
      </c>
      <c r="F13" s="203"/>
      <c r="G13" s="200">
        <f t="shared" si="1"/>
        <v>40868</v>
      </c>
      <c r="H13" s="200">
        <f t="shared" si="2"/>
        <v>1.3642420526593924E-12</v>
      </c>
      <c r="I13" s="137"/>
    </row>
    <row r="14" spans="1:9" x14ac:dyDescent="0.25">
      <c r="A14" s="195"/>
      <c r="B14" s="196"/>
      <c r="C14" s="197"/>
      <c r="D14" s="199"/>
      <c r="E14" s="199">
        <f t="shared" si="0"/>
        <v>40868</v>
      </c>
      <c r="F14" s="200"/>
      <c r="G14" s="200">
        <f t="shared" si="1"/>
        <v>40868</v>
      </c>
      <c r="H14" s="200">
        <f t="shared" si="2"/>
        <v>1.3642420526593924E-12</v>
      </c>
      <c r="I14" s="137"/>
    </row>
    <row r="15" spans="1:9" x14ac:dyDescent="0.25">
      <c r="A15" s="195"/>
      <c r="B15" s="196"/>
      <c r="C15" s="197"/>
      <c r="D15" s="199"/>
      <c r="E15" s="199">
        <f t="shared" si="0"/>
        <v>40868</v>
      </c>
      <c r="F15" s="203"/>
      <c r="G15" s="200">
        <f t="shared" si="1"/>
        <v>40868</v>
      </c>
      <c r="H15" s="200">
        <f t="shared" si="2"/>
        <v>1.3642420526593924E-12</v>
      </c>
      <c r="I15" s="137"/>
    </row>
    <row r="16" spans="1:9" x14ac:dyDescent="0.25">
      <c r="A16" s="195"/>
      <c r="B16" s="196"/>
      <c r="C16" s="197"/>
      <c r="D16" s="199"/>
      <c r="E16" s="199">
        <f t="shared" si="0"/>
        <v>40868</v>
      </c>
      <c r="F16" s="203"/>
      <c r="G16" s="200">
        <f t="shared" si="1"/>
        <v>40868</v>
      </c>
      <c r="H16" s="200">
        <f t="shared" si="2"/>
        <v>1.3642420526593924E-12</v>
      </c>
      <c r="I16" s="137"/>
    </row>
    <row r="17" spans="1:9" x14ac:dyDescent="0.25">
      <c r="A17" s="195"/>
      <c r="B17" s="196"/>
      <c r="C17" s="197"/>
      <c r="D17" s="199"/>
      <c r="E17" s="199">
        <f t="shared" si="0"/>
        <v>40868</v>
      </c>
      <c r="F17" s="203"/>
      <c r="G17" s="200">
        <f t="shared" si="1"/>
        <v>40868</v>
      </c>
      <c r="H17" s="200">
        <f t="shared" si="2"/>
        <v>1.3642420526593924E-12</v>
      </c>
      <c r="I17" s="137"/>
    </row>
    <row r="18" spans="1:9" x14ac:dyDescent="0.25">
      <c r="A18" s="195"/>
      <c r="B18" s="196"/>
      <c r="C18" s="197"/>
      <c r="D18" s="199"/>
      <c r="E18" s="199">
        <f t="shared" si="0"/>
        <v>40868</v>
      </c>
      <c r="F18" s="203"/>
      <c r="G18" s="200">
        <f t="shared" si="1"/>
        <v>40868</v>
      </c>
      <c r="H18" s="200">
        <f t="shared" si="2"/>
        <v>1.3642420526593924E-12</v>
      </c>
      <c r="I18" s="137"/>
    </row>
    <row r="19" spans="1:9" x14ac:dyDescent="0.25">
      <c r="A19" s="195"/>
      <c r="B19" s="196"/>
      <c r="C19" s="197"/>
      <c r="D19" s="199"/>
      <c r="E19" s="199">
        <f t="shared" si="0"/>
        <v>40868</v>
      </c>
      <c r="F19" s="200"/>
      <c r="G19" s="200">
        <f t="shared" si="1"/>
        <v>40868</v>
      </c>
      <c r="H19" s="200">
        <f t="shared" si="2"/>
        <v>1.3642420526593924E-12</v>
      </c>
      <c r="I19" s="137"/>
    </row>
    <row r="20" spans="1:9" x14ac:dyDescent="0.25">
      <c r="A20" s="195"/>
      <c r="B20" s="196"/>
      <c r="C20" s="197"/>
      <c r="D20" s="199"/>
      <c r="E20" s="199">
        <f t="shared" si="0"/>
        <v>40868</v>
      </c>
      <c r="F20" s="200"/>
      <c r="G20" s="200">
        <f t="shared" si="1"/>
        <v>40868</v>
      </c>
      <c r="H20" s="200">
        <f t="shared" si="2"/>
        <v>1.3642420526593924E-12</v>
      </c>
      <c r="I20" s="137"/>
    </row>
    <row r="21" spans="1:9" x14ac:dyDescent="0.25">
      <c r="A21" s="195"/>
      <c r="B21" s="196"/>
      <c r="C21" s="204"/>
      <c r="D21" s="199"/>
      <c r="E21" s="199">
        <f t="shared" si="0"/>
        <v>40868</v>
      </c>
      <c r="F21" s="200"/>
      <c r="G21" s="200">
        <f t="shared" si="1"/>
        <v>40868</v>
      </c>
      <c r="H21" s="200">
        <f t="shared" si="2"/>
        <v>1.3642420526593924E-12</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40868</v>
      </c>
      <c r="E23" s="208"/>
      <c r="F23" s="208">
        <f>SUM(F9:F22)</f>
        <v>40868</v>
      </c>
      <c r="G23" s="208"/>
      <c r="H23" s="208">
        <f>D23-F23</f>
        <v>0</v>
      </c>
      <c r="I23" s="137"/>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1175</v>
      </c>
      <c r="D26" s="200">
        <f>'[3]#9366.00 Jensen Builders'!$D$23</f>
        <v>255172</v>
      </c>
      <c r="E26" s="200"/>
      <c r="F26" s="200">
        <f>'[3]#9366.00 Jensen Builders'!$F$23</f>
        <v>255172.00000000003</v>
      </c>
      <c r="G26" s="200"/>
      <c r="H26" s="200">
        <f>D26-F26</f>
        <v>0</v>
      </c>
      <c r="I26" s="137"/>
    </row>
    <row r="27" spans="1:9" ht="15.75" thickBot="1" x14ac:dyDescent="0.3">
      <c r="A27" s="195"/>
      <c r="B27" s="197"/>
      <c r="C27" s="324" t="s">
        <v>1174</v>
      </c>
      <c r="D27" s="405">
        <f>SUM(D22:D26)</f>
        <v>296040</v>
      </c>
      <c r="E27" s="406"/>
      <c r="F27" s="405">
        <f>SUM(F22:F26)</f>
        <v>296040</v>
      </c>
      <c r="G27" s="406"/>
      <c r="H27" s="405">
        <f>SUM(H22:H26)</f>
        <v>0</v>
      </c>
      <c r="I27" s="137"/>
    </row>
    <row r="2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81">
    <tabColor rgb="FF0070C0"/>
    <pageSetUpPr fitToPage="1"/>
  </sheetPr>
  <dimension ref="A1:J43"/>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4.71093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#9366.00'!B1</f>
        <v>DOC NCCF IPI Sally Port Vehicle Gate</v>
      </c>
      <c r="B1" s="109"/>
      <c r="C1" s="109"/>
      <c r="D1" s="179"/>
      <c r="E1" s="179"/>
      <c r="F1" s="179"/>
      <c r="G1" s="180"/>
      <c r="H1" s="180"/>
      <c r="I1" s="181"/>
      <c r="J1" s="181"/>
    </row>
    <row r="2" spans="1:10" ht="15.75" x14ac:dyDescent="0.25">
      <c r="A2" s="126" t="str">
        <f>'RECAP #9366.00'!B2</f>
        <v>Project # 9366.00</v>
      </c>
      <c r="B2" s="182"/>
      <c r="C2" s="182"/>
      <c r="D2" s="179"/>
      <c r="E2" s="179"/>
      <c r="F2" s="179"/>
      <c r="G2" s="180"/>
      <c r="H2" s="180"/>
      <c r="I2" s="181"/>
      <c r="J2" s="181"/>
    </row>
    <row r="3" spans="1:10" ht="15.75" x14ac:dyDescent="0.25">
      <c r="A3" s="183" t="str">
        <f>'RECAP #9366.00'!B3</f>
        <v>Program code 936600</v>
      </c>
      <c r="B3" s="182"/>
      <c r="C3" s="182"/>
      <c r="D3" s="179"/>
      <c r="E3" s="184" t="str">
        <f>'RECAP #9366.00'!E3</f>
        <v>Major Program 4B01</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#9366.00'!B6</f>
        <v>Project Manager - Jennie E.</v>
      </c>
      <c r="B6" s="126"/>
      <c r="C6" s="126"/>
      <c r="D6" s="188"/>
      <c r="E6" s="132" t="s">
        <v>778</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30" customFormat="1" ht="12.75" customHeight="1" x14ac:dyDescent="0.25">
      <c r="A9" s="563"/>
      <c r="B9" s="500"/>
      <c r="C9" s="500"/>
      <c r="D9" s="515" t="s">
        <v>92</v>
      </c>
      <c r="E9" s="404">
        <f>5000-4233.95</f>
        <v>766.05000000000018</v>
      </c>
      <c r="F9" s="502">
        <f>E9</f>
        <v>766.05000000000018</v>
      </c>
      <c r="G9" s="503"/>
      <c r="H9" s="503"/>
      <c r="I9" s="503">
        <f>F9</f>
        <v>766.05000000000018</v>
      </c>
      <c r="J9" s="504"/>
    </row>
    <row r="10" spans="1:10" s="330" customFormat="1" ht="12.75" customHeight="1" x14ac:dyDescent="0.25">
      <c r="A10" s="564" t="s">
        <v>1009</v>
      </c>
      <c r="B10" s="500">
        <v>45876</v>
      </c>
      <c r="C10" s="565">
        <v>2507</v>
      </c>
      <c r="D10" s="352" t="s">
        <v>1010</v>
      </c>
      <c r="E10" s="502"/>
      <c r="F10" s="502">
        <f t="shared" ref="F10:F21" si="0">F9+E10</f>
        <v>766.05000000000018</v>
      </c>
      <c r="G10" s="406">
        <f>5.79+8.42</f>
        <v>14.21</v>
      </c>
      <c r="H10" s="503">
        <f t="shared" ref="H10:H21" si="1">H9+G10</f>
        <v>14.21</v>
      </c>
      <c r="I10" s="503">
        <f t="shared" ref="I10:I21" si="2">I9-G10+E10</f>
        <v>751.84000000000015</v>
      </c>
      <c r="J10" s="504"/>
    </row>
    <row r="11" spans="1:10" s="330" customFormat="1" ht="12.75" customHeight="1" x14ac:dyDescent="0.25">
      <c r="A11" s="564" t="s">
        <v>1009</v>
      </c>
      <c r="B11" s="500">
        <v>45876</v>
      </c>
      <c r="C11" s="565">
        <v>9500</v>
      </c>
      <c r="D11" s="352" t="s">
        <v>1011</v>
      </c>
      <c r="E11" s="502"/>
      <c r="F11" s="502">
        <f t="shared" si="0"/>
        <v>766.05000000000018</v>
      </c>
      <c r="G11" s="406">
        <f>10+144.1</f>
        <v>154.1</v>
      </c>
      <c r="H11" s="503">
        <f t="shared" si="1"/>
        <v>168.31</v>
      </c>
      <c r="I11" s="503">
        <f t="shared" si="2"/>
        <v>597.74000000000012</v>
      </c>
      <c r="J11" s="504"/>
    </row>
    <row r="12" spans="1:10" s="330" customFormat="1" ht="12.75" customHeight="1" x14ac:dyDescent="0.25">
      <c r="A12" s="564" t="s">
        <v>1177</v>
      </c>
      <c r="B12" s="500">
        <v>45908</v>
      </c>
      <c r="C12" s="565">
        <v>2507</v>
      </c>
      <c r="D12" s="352" t="s">
        <v>1182</v>
      </c>
      <c r="E12" s="502"/>
      <c r="F12" s="502">
        <f t="shared" si="0"/>
        <v>766.05000000000018</v>
      </c>
      <c r="G12" s="406">
        <v>28.4</v>
      </c>
      <c r="H12" s="503">
        <f t="shared" si="1"/>
        <v>196.71</v>
      </c>
      <c r="I12" s="503">
        <f t="shared" si="2"/>
        <v>569.34000000000015</v>
      </c>
      <c r="J12" s="504"/>
    </row>
    <row r="13" spans="1:10" s="330" customFormat="1" ht="12.75" customHeight="1" x14ac:dyDescent="0.25">
      <c r="A13" s="564" t="s">
        <v>1177</v>
      </c>
      <c r="B13" s="500">
        <v>45908</v>
      </c>
      <c r="C13" s="565">
        <v>9500</v>
      </c>
      <c r="D13" s="352" t="s">
        <v>1181</v>
      </c>
      <c r="E13" s="502"/>
      <c r="F13" s="502">
        <f t="shared" si="0"/>
        <v>766.05000000000018</v>
      </c>
      <c r="G13" s="406">
        <v>219.2</v>
      </c>
      <c r="H13" s="503">
        <f t="shared" si="1"/>
        <v>415.90999999999997</v>
      </c>
      <c r="I13" s="503">
        <f t="shared" si="2"/>
        <v>350.14000000000016</v>
      </c>
      <c r="J13" s="504"/>
    </row>
    <row r="14" spans="1:10" s="330" customFormat="1" ht="12.75" customHeight="1" x14ac:dyDescent="0.25">
      <c r="A14" s="564" t="s">
        <v>1322</v>
      </c>
      <c r="B14" s="500">
        <v>45968</v>
      </c>
      <c r="C14" s="565" t="s">
        <v>1234</v>
      </c>
      <c r="D14" s="352" t="s">
        <v>1327</v>
      </c>
      <c r="E14" s="502"/>
      <c r="F14" s="502">
        <f t="shared" si="0"/>
        <v>766.05000000000018</v>
      </c>
      <c r="G14" s="406">
        <v>31.84</v>
      </c>
      <c r="H14" s="503">
        <f t="shared" si="1"/>
        <v>447.74999999999994</v>
      </c>
      <c r="I14" s="503">
        <f t="shared" si="2"/>
        <v>318.30000000000018</v>
      </c>
      <c r="J14" s="504"/>
    </row>
    <row r="15" spans="1:10" s="330" customFormat="1" ht="12.75" customHeight="1" x14ac:dyDescent="0.25">
      <c r="A15" s="564" t="s">
        <v>1322</v>
      </c>
      <c r="B15" s="500">
        <v>45968</v>
      </c>
      <c r="C15" s="565">
        <v>9500</v>
      </c>
      <c r="D15" s="352" t="s">
        <v>1326</v>
      </c>
      <c r="E15" s="502"/>
      <c r="F15" s="502">
        <f t="shared" si="0"/>
        <v>766.05000000000018</v>
      </c>
      <c r="G15" s="406">
        <v>318.3</v>
      </c>
      <c r="H15" s="503">
        <f t="shared" si="1"/>
        <v>766.05</v>
      </c>
      <c r="I15" s="503">
        <f t="shared" si="2"/>
        <v>1.7053025658242404E-13</v>
      </c>
      <c r="J15" s="504"/>
    </row>
    <row r="16" spans="1:10" s="330" customFormat="1" ht="12.75" customHeight="1" x14ac:dyDescent="0.25">
      <c r="A16" s="352"/>
      <c r="B16" s="500"/>
      <c r="C16" s="565"/>
      <c r="D16" s="515"/>
      <c r="E16" s="502"/>
      <c r="F16" s="502">
        <f t="shared" si="0"/>
        <v>766.05000000000018</v>
      </c>
      <c r="G16" s="406"/>
      <c r="H16" s="503">
        <f t="shared" si="1"/>
        <v>766.05</v>
      </c>
      <c r="I16" s="503">
        <f t="shared" si="2"/>
        <v>1.7053025658242404E-13</v>
      </c>
      <c r="J16" s="504"/>
    </row>
    <row r="17" spans="1:10" s="330" customFormat="1" ht="12.75" customHeight="1" x14ac:dyDescent="0.25">
      <c r="A17" s="352"/>
      <c r="B17" s="500"/>
      <c r="C17" s="565"/>
      <c r="D17" s="515"/>
      <c r="E17" s="502"/>
      <c r="F17" s="502">
        <f t="shared" si="0"/>
        <v>766.05000000000018</v>
      </c>
      <c r="G17" s="406"/>
      <c r="H17" s="503">
        <f t="shared" si="1"/>
        <v>766.05</v>
      </c>
      <c r="I17" s="503">
        <f t="shared" si="2"/>
        <v>1.7053025658242404E-13</v>
      </c>
      <c r="J17" s="504"/>
    </row>
    <row r="18" spans="1:10" s="330" customFormat="1" ht="12.75" customHeight="1" x14ac:dyDescent="0.25">
      <c r="A18" s="352"/>
      <c r="B18" s="500"/>
      <c r="C18" s="565"/>
      <c r="D18" s="515"/>
      <c r="E18" s="502"/>
      <c r="F18" s="502">
        <f t="shared" si="0"/>
        <v>766.05000000000018</v>
      </c>
      <c r="G18" s="406"/>
      <c r="H18" s="503">
        <f t="shared" si="1"/>
        <v>766.05</v>
      </c>
      <c r="I18" s="503">
        <f t="shared" si="2"/>
        <v>1.7053025658242404E-13</v>
      </c>
      <c r="J18" s="504"/>
    </row>
    <row r="19" spans="1:10" s="330" customFormat="1" ht="12.75" customHeight="1" x14ac:dyDescent="0.25">
      <c r="A19" s="352"/>
      <c r="B19" s="500"/>
      <c r="C19" s="565"/>
      <c r="D19" s="515"/>
      <c r="E19" s="502"/>
      <c r="F19" s="502">
        <f t="shared" si="0"/>
        <v>766.05000000000018</v>
      </c>
      <c r="G19" s="503"/>
      <c r="H19" s="503">
        <f t="shared" si="1"/>
        <v>766.05</v>
      </c>
      <c r="I19" s="503">
        <f t="shared" si="2"/>
        <v>1.7053025658242404E-13</v>
      </c>
      <c r="J19" s="504"/>
    </row>
    <row r="20" spans="1:10" s="330" customFormat="1" ht="12.75" customHeight="1" x14ac:dyDescent="0.25">
      <c r="A20" s="352"/>
      <c r="B20" s="500"/>
      <c r="C20" s="565"/>
      <c r="D20" s="515"/>
      <c r="E20" s="502"/>
      <c r="F20" s="502">
        <f t="shared" si="0"/>
        <v>766.05000000000018</v>
      </c>
      <c r="G20" s="503"/>
      <c r="H20" s="503">
        <f t="shared" si="1"/>
        <v>766.05</v>
      </c>
      <c r="I20" s="503">
        <f t="shared" si="2"/>
        <v>1.7053025658242404E-13</v>
      </c>
      <c r="J20" s="504"/>
    </row>
    <row r="21" spans="1:10" s="330" customFormat="1" ht="12.75" customHeight="1" x14ac:dyDescent="0.25">
      <c r="A21" s="352"/>
      <c r="B21" s="500"/>
      <c r="C21" s="565"/>
      <c r="D21" s="504"/>
      <c r="E21" s="502"/>
      <c r="F21" s="502">
        <f t="shared" si="0"/>
        <v>766.05000000000018</v>
      </c>
      <c r="G21" s="503"/>
      <c r="H21" s="503">
        <f t="shared" si="1"/>
        <v>766.05</v>
      </c>
      <c r="I21" s="503">
        <f t="shared" si="2"/>
        <v>1.7053025658242404E-13</v>
      </c>
      <c r="J21" s="504"/>
    </row>
    <row r="22" spans="1:10" s="330" customFormat="1" ht="12.75" customHeight="1" x14ac:dyDescent="0.25">
      <c r="A22" s="352"/>
      <c r="B22" s="501"/>
      <c r="C22" s="565"/>
      <c r="D22" s="515"/>
      <c r="E22" s="503"/>
      <c r="F22" s="503"/>
      <c r="G22" s="503"/>
      <c r="H22" s="503"/>
      <c r="I22" s="503"/>
      <c r="J22" s="504"/>
    </row>
    <row r="23" spans="1:10" s="330" customFormat="1" ht="12.75" customHeight="1" thickBot="1" x14ac:dyDescent="0.3">
      <c r="A23" s="352"/>
      <c r="B23" s="516"/>
      <c r="C23" s="565"/>
      <c r="D23" s="517" t="s">
        <v>54</v>
      </c>
      <c r="E23" s="405">
        <f>SUM(E9:E22)</f>
        <v>766.05000000000018</v>
      </c>
      <c r="F23" s="405"/>
      <c r="G23" s="405">
        <f>SUM(G9:G22)</f>
        <v>766.05</v>
      </c>
      <c r="H23" s="405"/>
      <c r="I23" s="405">
        <f>E23-G23</f>
        <v>0</v>
      </c>
      <c r="J23" s="50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2">
    <tabColor indexed="3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09" t="str">
        <f>'RECAP #9366.00'!B1</f>
        <v>DOC NCCF IPI Sally Port Vehicle Gate</v>
      </c>
      <c r="B1" s="109"/>
      <c r="C1" s="109"/>
      <c r="D1" s="109"/>
      <c r="E1" s="179"/>
      <c r="F1" s="179"/>
      <c r="G1" s="179"/>
      <c r="H1" s="180"/>
    </row>
    <row r="2" spans="1:8" ht="15.75" x14ac:dyDescent="0.25">
      <c r="A2" s="126" t="str">
        <f>'RECAP #9366.00'!B2</f>
        <v>Project # 9366.00</v>
      </c>
      <c r="B2" s="182"/>
      <c r="C2" s="182"/>
      <c r="D2" s="182"/>
      <c r="E2" s="179"/>
      <c r="F2" s="179"/>
      <c r="G2" s="179"/>
      <c r="H2" s="180"/>
    </row>
    <row r="3" spans="1:8" ht="15.75" x14ac:dyDescent="0.25">
      <c r="A3" s="183" t="str">
        <f>'RECAP #9366.00'!B3</f>
        <v>Program code 936600</v>
      </c>
      <c r="B3" s="182"/>
      <c r="C3" s="182"/>
      <c r="D3" s="182"/>
      <c r="E3" s="184" t="str">
        <f>'RECAP #9366.00'!E3</f>
        <v>Major Program 4B01</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#9366.00'!B6</f>
        <v>Project Manager - Jennie E.</v>
      </c>
      <c r="B6" s="126"/>
      <c r="C6" s="126"/>
      <c r="D6" s="126"/>
      <c r="E6" s="184" t="s">
        <v>468</v>
      </c>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x14ac:dyDescent="0.25">
      <c r="A9" s="137"/>
      <c r="B9" s="316"/>
      <c r="C9" s="317"/>
      <c r="D9" s="204"/>
      <c r="E9" s="195"/>
      <c r="F9" s="318"/>
      <c r="G9" s="211"/>
      <c r="H9" s="211">
        <f>G9</f>
        <v>0</v>
      </c>
    </row>
    <row r="10" spans="1:8" x14ac:dyDescent="0.25">
      <c r="A10" s="195"/>
      <c r="B10" s="316"/>
      <c r="C10" s="317"/>
      <c r="D10" s="204"/>
      <c r="E10" s="137"/>
      <c r="F10" s="319"/>
      <c r="G10" s="211"/>
      <c r="H10" s="211">
        <f>H9+G10</f>
        <v>0</v>
      </c>
    </row>
    <row r="11" spans="1:8" x14ac:dyDescent="0.25">
      <c r="A11" s="195"/>
      <c r="B11" s="316"/>
      <c r="C11" s="317"/>
      <c r="D11" s="204"/>
      <c r="E11" s="137"/>
      <c r="F11" s="319"/>
      <c r="G11" s="211"/>
      <c r="H11" s="211">
        <f t="shared" ref="H11:H20" si="0">H10+G11</f>
        <v>0</v>
      </c>
    </row>
    <row r="12" spans="1:8" x14ac:dyDescent="0.25">
      <c r="A12" s="195" t="s">
        <v>3</v>
      </c>
      <c r="B12" s="316" t="s">
        <v>3</v>
      </c>
      <c r="C12" s="317"/>
      <c r="D12" s="204"/>
      <c r="E12" s="137" t="s">
        <v>3</v>
      </c>
      <c r="F12" s="319"/>
      <c r="G12" s="211"/>
      <c r="H12" s="211">
        <f t="shared" si="0"/>
        <v>0</v>
      </c>
    </row>
    <row r="13" spans="1:8" x14ac:dyDescent="0.25">
      <c r="A13" s="195" t="s">
        <v>3</v>
      </c>
      <c r="B13" s="316" t="s">
        <v>3</v>
      </c>
      <c r="C13" s="317"/>
      <c r="D13" s="204"/>
      <c r="E13" s="137" t="s">
        <v>3</v>
      </c>
      <c r="F13" s="319"/>
      <c r="G13" s="211"/>
      <c r="H13" s="211">
        <f t="shared" si="0"/>
        <v>0</v>
      </c>
    </row>
    <row r="14" spans="1:8" x14ac:dyDescent="0.25">
      <c r="A14" s="195"/>
      <c r="B14" s="316"/>
      <c r="C14" s="317"/>
      <c r="D14" s="204"/>
      <c r="E14" s="137"/>
      <c r="F14" s="319"/>
      <c r="G14" s="211"/>
      <c r="H14" s="211">
        <f t="shared" si="0"/>
        <v>0</v>
      </c>
    </row>
    <row r="15" spans="1:8" x14ac:dyDescent="0.25">
      <c r="A15" s="195"/>
      <c r="B15" s="316"/>
      <c r="C15" s="317"/>
      <c r="D15" s="204"/>
      <c r="E15" s="132"/>
      <c r="F15" s="319"/>
      <c r="G15" s="211"/>
      <c r="H15" s="211">
        <f t="shared" si="0"/>
        <v>0</v>
      </c>
    </row>
    <row r="16" spans="1:8" x14ac:dyDescent="0.25">
      <c r="A16" s="195"/>
      <c r="B16" s="316"/>
      <c r="C16" s="317"/>
      <c r="D16" s="204"/>
      <c r="E16" s="137"/>
      <c r="F16" s="319"/>
      <c r="G16" s="211"/>
      <c r="H16" s="211">
        <f t="shared" si="0"/>
        <v>0</v>
      </c>
    </row>
    <row r="17" spans="1:8" x14ac:dyDescent="0.25">
      <c r="A17" s="195"/>
      <c r="B17" s="316"/>
      <c r="C17" s="317"/>
      <c r="D17" s="204"/>
      <c r="E17" s="137"/>
      <c r="F17" s="319"/>
      <c r="G17" s="211"/>
      <c r="H17" s="211">
        <f t="shared" si="0"/>
        <v>0</v>
      </c>
    </row>
    <row r="18" spans="1:8" x14ac:dyDescent="0.25">
      <c r="A18" s="195"/>
      <c r="B18" s="316"/>
      <c r="C18" s="317"/>
      <c r="D18" s="204"/>
      <c r="E18" s="137"/>
      <c r="F18" s="319"/>
      <c r="G18" s="211"/>
      <c r="H18" s="211">
        <f t="shared" si="0"/>
        <v>0</v>
      </c>
    </row>
    <row r="19" spans="1:8" x14ac:dyDescent="0.25">
      <c r="A19" s="195"/>
      <c r="B19" s="316"/>
      <c r="C19" s="317"/>
      <c r="D19" s="204"/>
      <c r="E19" s="137"/>
      <c r="F19" s="319"/>
      <c r="G19" s="211"/>
      <c r="H19" s="211">
        <f t="shared" si="0"/>
        <v>0</v>
      </c>
    </row>
    <row r="20" spans="1:8" x14ac:dyDescent="0.25">
      <c r="A20" s="195"/>
      <c r="B20" s="316"/>
      <c r="C20" s="317"/>
      <c r="D20" s="204"/>
      <c r="E20" s="137"/>
      <c r="F20" s="319"/>
      <c r="G20" s="211"/>
      <c r="H20" s="211">
        <f t="shared" si="0"/>
        <v>0</v>
      </c>
    </row>
    <row r="21" spans="1:8" x14ac:dyDescent="0.25">
      <c r="A21" s="195"/>
      <c r="B21" s="320"/>
      <c r="C21" s="317"/>
      <c r="D21" s="204"/>
      <c r="E21" s="137"/>
      <c r="F21" s="211"/>
      <c r="G21" s="137"/>
      <c r="H21" s="211"/>
    </row>
    <row r="22" spans="1:8" ht="15.75" thickBot="1" x14ac:dyDescent="0.3">
      <c r="A22" s="321"/>
      <c r="B22" s="322"/>
      <c r="C22" s="323"/>
      <c r="D22" s="324"/>
      <c r="E22" s="325" t="s">
        <v>54</v>
      </c>
      <c r="F22" s="326"/>
      <c r="G22" s="208">
        <f>SUM(G9:G21)</f>
        <v>0</v>
      </c>
      <c r="H22" s="32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3">
    <tabColor rgb="FF0070C0"/>
    <pageSetUpPr fitToPage="1"/>
  </sheetPr>
  <dimension ref="A1:G19"/>
  <sheetViews>
    <sheetView tabSelected="1" topLeftCell="A7"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75</v>
      </c>
      <c r="C1" s="109"/>
      <c r="D1" s="179"/>
      <c r="E1" s="179"/>
      <c r="F1" s="179"/>
      <c r="G1" s="179"/>
    </row>
    <row r="2" spans="1:7" ht="15.75" x14ac:dyDescent="0.25">
      <c r="A2" s="212"/>
      <c r="B2" s="126" t="s">
        <v>76</v>
      </c>
      <c r="C2" s="182"/>
      <c r="D2" s="179"/>
      <c r="E2" s="179"/>
      <c r="F2" s="179"/>
      <c r="G2" s="179"/>
    </row>
    <row r="3" spans="1:7" ht="15.75" x14ac:dyDescent="0.25">
      <c r="A3" s="212"/>
      <c r="B3" s="183" t="s">
        <v>77</v>
      </c>
      <c r="C3" s="182"/>
      <c r="D3" s="179"/>
      <c r="E3" s="184" t="s">
        <v>78</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70</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'#9424.00 Funds Rec''d  '!H24</f>
        <v>112934.75</v>
      </c>
      <c r="D8" s="258"/>
      <c r="E8" s="258"/>
      <c r="F8" s="258"/>
      <c r="G8" s="259"/>
    </row>
    <row r="9" spans="1:7" x14ac:dyDescent="0.25">
      <c r="A9" s="212"/>
      <c r="B9" s="182"/>
      <c r="C9" s="260"/>
      <c r="D9" s="261"/>
      <c r="E9" s="261"/>
      <c r="F9" s="261"/>
      <c r="G9" s="259"/>
    </row>
    <row r="10" spans="1:7" x14ac:dyDescent="0.25">
      <c r="A10" s="212" t="s">
        <v>170</v>
      </c>
      <c r="B10" s="182" t="s">
        <v>142</v>
      </c>
      <c r="C10" s="260"/>
      <c r="D10" s="258">
        <f>'#9424.00 IMEG Corporation'!D23</f>
        <v>13925</v>
      </c>
      <c r="E10" s="258">
        <f>'#9424.00 IMEG Corporation'!F23</f>
        <v>13925</v>
      </c>
      <c r="F10" s="258">
        <f>'#9424.00 IMEG Corporation'!H23</f>
        <v>0</v>
      </c>
      <c r="G10" s="259"/>
    </row>
    <row r="11" spans="1:7" x14ac:dyDescent="0.25">
      <c r="A11" s="212" t="s">
        <v>170</v>
      </c>
      <c r="B11" s="182" t="s">
        <v>41</v>
      </c>
      <c r="C11" s="260"/>
      <c r="D11" s="258">
        <f>'#9424.00 PM TIME '!E32</f>
        <v>8519.7099999999991</v>
      </c>
      <c r="E11" s="258">
        <f>'#9424.00 PM TIME '!G32</f>
        <v>8519.7099999999991</v>
      </c>
      <c r="F11" s="258">
        <f>'#9424.00 PM TIME '!I32</f>
        <v>0</v>
      </c>
      <c r="G11" s="259"/>
    </row>
    <row r="12" spans="1:7" x14ac:dyDescent="0.25">
      <c r="A12" s="212" t="s">
        <v>170</v>
      </c>
      <c r="B12" s="182" t="s">
        <v>42</v>
      </c>
      <c r="C12" s="261"/>
      <c r="D12" s="262">
        <f>'#9424.00 Misc'!G22</f>
        <v>0</v>
      </c>
      <c r="E12" s="262">
        <f>'#9424.00 Misc'!G22</f>
        <v>0</v>
      </c>
      <c r="F12" s="258">
        <f>D12-E12</f>
        <v>0</v>
      </c>
      <c r="G12" s="259"/>
    </row>
    <row r="13" spans="1:7" x14ac:dyDescent="0.25">
      <c r="A13" s="212" t="s">
        <v>170</v>
      </c>
      <c r="B13" s="182" t="s">
        <v>113</v>
      </c>
      <c r="C13" s="261"/>
      <c r="D13" s="262">
        <f>'#9424.00 McGough Construction'!D23</f>
        <v>9868.0399999999991</v>
      </c>
      <c r="E13" s="262">
        <f>'#9424.00 McGough Construction'!F23</f>
        <v>9868.0400000000009</v>
      </c>
      <c r="F13" s="258">
        <f>'#9424.00 McGough Construction'!H23</f>
        <v>0</v>
      </c>
      <c r="G13" s="259"/>
    </row>
    <row r="14" spans="1:7" x14ac:dyDescent="0.25">
      <c r="A14" s="212" t="s">
        <v>170</v>
      </c>
      <c r="B14" s="182" t="s">
        <v>262</v>
      </c>
      <c r="C14" s="261"/>
      <c r="D14" s="262">
        <f>'#9424.00 K&amp;W Electric'!D23</f>
        <v>80622</v>
      </c>
      <c r="E14" s="262">
        <f>'#9424.00 K&amp;W Electric'!F23</f>
        <v>80622</v>
      </c>
      <c r="F14" s="258">
        <f>'#9424.00 K&amp;W Electric'!H23</f>
        <v>0</v>
      </c>
      <c r="G14" s="259"/>
    </row>
    <row r="15" spans="1:7" ht="13.35" customHeight="1" x14ac:dyDescent="0.25">
      <c r="A15" s="212"/>
      <c r="B15" s="182"/>
      <c r="C15" s="261"/>
      <c r="D15" s="262"/>
      <c r="E15" s="262"/>
      <c r="F15" s="258"/>
      <c r="G15" s="259"/>
    </row>
    <row r="16" spans="1:7" ht="24" customHeight="1" thickBot="1" x14ac:dyDescent="0.3">
      <c r="A16" s="263"/>
      <c r="B16" s="264" t="s">
        <v>43</v>
      </c>
      <c r="C16" s="265">
        <f>SUM(C8:C15)</f>
        <v>112934.75</v>
      </c>
      <c r="D16" s="265">
        <f>SUM(D8:D15)</f>
        <v>112934.75</v>
      </c>
      <c r="E16" s="265">
        <f>SUM(E8:E15)</f>
        <v>112934.75</v>
      </c>
      <c r="F16" s="265">
        <f>SUM(D16-E16)</f>
        <v>0</v>
      </c>
      <c r="G16" s="265">
        <f>C16-D16</f>
        <v>0</v>
      </c>
    </row>
    <row r="17" spans="1:7" ht="13.35" customHeight="1" thickTop="1" x14ac:dyDescent="0.25">
      <c r="A17" s="212"/>
      <c r="B17" s="182"/>
      <c r="C17" s="182"/>
      <c r="D17" s="259"/>
      <c r="E17" s="259"/>
      <c r="F17" s="259"/>
      <c r="G17" s="259"/>
    </row>
    <row r="18" spans="1:7" ht="13.35" customHeight="1" x14ac:dyDescent="0.25">
      <c r="A18" s="212"/>
      <c r="B18" s="182"/>
      <c r="C18" s="182"/>
      <c r="D18" s="259"/>
      <c r="E18" s="259"/>
      <c r="F18" s="259"/>
      <c r="G18" s="259"/>
    </row>
    <row r="19" spans="1:7" ht="13.35" customHeight="1" x14ac:dyDescent="0.25">
      <c r="A19" s="212"/>
      <c r="B19" s="212" t="s">
        <v>989</v>
      </c>
      <c r="C19" s="182"/>
      <c r="D19" s="259"/>
      <c r="E19" s="259"/>
      <c r="F19" s="259"/>
      <c r="G19"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4">
    <tabColor rgb="FF0070C0"/>
    <pageSetUpPr fitToPage="1"/>
  </sheetPr>
  <dimension ref="A1:H25"/>
  <sheetViews>
    <sheetView tabSelected="1" topLeftCell="A7" zoomScaleNormal="100" workbookViewId="0">
      <selection activeCell="C38" sqref="C38"/>
    </sheetView>
  </sheetViews>
  <sheetFormatPr defaultColWidth="9.140625" defaultRowHeight="15" customHeight="1" x14ac:dyDescent="0.25"/>
  <cols>
    <col min="1" max="1" width="15.5703125" customWidth="1"/>
    <col min="2" max="2" width="20.5703125" customWidth="1"/>
    <col min="3" max="3" width="12.42578125" bestFit="1" customWidth="1"/>
    <col min="4" max="4" width="38" customWidth="1"/>
    <col min="5" max="5" width="25.42578125" customWidth="1"/>
    <col min="6" max="6" width="10.42578125" bestFit="1" customWidth="1"/>
    <col min="7" max="8" width="12.42578125" bestFit="1" customWidth="1"/>
    <col min="9" max="11" width="9.140625" customWidth="1"/>
  </cols>
  <sheetData>
    <row r="1" spans="1:8" x14ac:dyDescent="0.25">
      <c r="A1" s="267" t="str">
        <f>'RECAP #9424.00'!B1</f>
        <v>HHS STS Main Electrical Loop Revisions</v>
      </c>
      <c r="B1" s="268"/>
      <c r="C1" s="269"/>
      <c r="D1" s="270"/>
      <c r="E1" s="270"/>
      <c r="F1" s="268"/>
      <c r="G1" s="268"/>
      <c r="H1" s="268"/>
    </row>
    <row r="2" spans="1:8" x14ac:dyDescent="0.25">
      <c r="A2" s="271" t="str">
        <f>'RECAP #9424.00'!B2</f>
        <v>Project # 9424.00</v>
      </c>
      <c r="B2" s="268"/>
      <c r="C2" s="272" t="s">
        <v>3</v>
      </c>
      <c r="D2" s="273"/>
      <c r="E2" s="273"/>
      <c r="F2" s="268"/>
      <c r="G2" s="268"/>
      <c r="H2" s="268"/>
    </row>
    <row r="3" spans="1:8" x14ac:dyDescent="0.25">
      <c r="A3" s="274" t="str">
        <f>'RECAP #9424.00'!B3</f>
        <v>Program code 942400</v>
      </c>
      <c r="B3" s="268"/>
      <c r="C3" s="272" t="s">
        <v>3</v>
      </c>
      <c r="D3" s="275" t="str">
        <f>'RECAP #9424.00'!E3</f>
        <v>Major Program 4E02</v>
      </c>
      <c r="E3" s="270"/>
      <c r="F3" s="268"/>
      <c r="G3" s="268"/>
      <c r="H3" s="268"/>
    </row>
    <row r="4" spans="1:8" ht="15.75" x14ac:dyDescent="0.25">
      <c r="A4" s="109" t="s">
        <v>44</v>
      </c>
      <c r="B4" s="276" t="s">
        <v>3</v>
      </c>
      <c r="C4" s="270"/>
      <c r="D4" s="270"/>
      <c r="E4" s="270"/>
      <c r="F4" s="268"/>
      <c r="G4" s="268"/>
      <c r="H4" s="268"/>
    </row>
    <row r="5" spans="1:8" x14ac:dyDescent="0.25">
      <c r="A5" s="263" t="s">
        <v>65</v>
      </c>
      <c r="B5" s="277"/>
      <c r="C5" s="278"/>
      <c r="D5" s="279"/>
      <c r="E5" s="268"/>
      <c r="F5" s="268"/>
      <c r="G5" s="268"/>
      <c r="H5" s="268"/>
    </row>
    <row r="6" spans="1:8" x14ac:dyDescent="0.25">
      <c r="A6" s="280" t="str">
        <f>'RECAP #9424.00'!B6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ht="12.75" customHeight="1" x14ac:dyDescent="0.25">
      <c r="A9" s="351"/>
      <c r="B9" s="352"/>
      <c r="C9" s="353"/>
      <c r="D9" s="354" t="s">
        <v>73</v>
      </c>
      <c r="E9" s="354" t="s">
        <v>74</v>
      </c>
      <c r="F9" s="355">
        <v>45475</v>
      </c>
      <c r="G9" s="356">
        <v>280000</v>
      </c>
      <c r="H9" s="356">
        <v>280000</v>
      </c>
    </row>
    <row r="10" spans="1:8" ht="12.75" customHeight="1" x14ac:dyDescent="0.25">
      <c r="A10" s="351"/>
      <c r="B10" s="351"/>
      <c r="C10" s="357"/>
      <c r="D10" s="354" t="s">
        <v>73</v>
      </c>
      <c r="E10" s="351" t="s">
        <v>450</v>
      </c>
      <c r="F10" s="351">
        <v>45506</v>
      </c>
      <c r="G10" s="382">
        <v>280000</v>
      </c>
      <c r="H10" s="382">
        <v>280000</v>
      </c>
    </row>
    <row r="11" spans="1:8" ht="12.75" customHeight="1" x14ac:dyDescent="0.25">
      <c r="A11" s="359"/>
      <c r="B11" s="357"/>
      <c r="C11" s="360"/>
      <c r="D11" s="354" t="s">
        <v>131</v>
      </c>
      <c r="E11" s="351" t="s">
        <v>132</v>
      </c>
      <c r="F11" s="351">
        <v>45512</v>
      </c>
      <c r="G11" s="383">
        <v>-280000</v>
      </c>
      <c r="H11" s="383">
        <v>-280000</v>
      </c>
    </row>
    <row r="12" spans="1:8" ht="12.75" customHeight="1" x14ac:dyDescent="0.25">
      <c r="A12" s="359"/>
      <c r="B12" s="357"/>
      <c r="C12" s="364"/>
      <c r="D12" s="354" t="s">
        <v>223</v>
      </c>
      <c r="E12" s="351" t="s">
        <v>220</v>
      </c>
      <c r="F12" s="351">
        <v>45553</v>
      </c>
      <c r="G12" s="382">
        <v>16054.8</v>
      </c>
      <c r="H12" s="382">
        <v>16054.8</v>
      </c>
    </row>
    <row r="13" spans="1:8" ht="12.75" customHeight="1" x14ac:dyDescent="0.25">
      <c r="A13" s="365"/>
      <c r="B13" s="366"/>
      <c r="C13" s="364"/>
      <c r="D13" s="354" t="s">
        <v>224</v>
      </c>
      <c r="E13" s="351" t="s">
        <v>225</v>
      </c>
      <c r="F13" s="351">
        <v>45554</v>
      </c>
      <c r="G13" s="383">
        <v>-16054.8</v>
      </c>
      <c r="H13" s="383">
        <v>-16054.8</v>
      </c>
    </row>
    <row r="14" spans="1:8" ht="12.75" customHeight="1" x14ac:dyDescent="0.25">
      <c r="A14" s="359"/>
      <c r="B14" s="368"/>
      <c r="C14" s="364"/>
      <c r="D14" s="354" t="s">
        <v>448</v>
      </c>
      <c r="E14" s="351" t="s">
        <v>449</v>
      </c>
      <c r="F14" s="351">
        <v>45679</v>
      </c>
      <c r="G14" s="383">
        <v>-140000</v>
      </c>
      <c r="H14" s="383">
        <v>-140000</v>
      </c>
    </row>
    <row r="15" spans="1:8" ht="12.75" customHeight="1" x14ac:dyDescent="0.25">
      <c r="A15" s="359"/>
      <c r="B15" s="368"/>
      <c r="C15" s="369"/>
      <c r="D15" s="354" t="s">
        <v>448</v>
      </c>
      <c r="E15" s="366" t="s">
        <v>786</v>
      </c>
      <c r="F15" s="351">
        <v>45805</v>
      </c>
      <c r="G15" s="384">
        <v>-20000</v>
      </c>
      <c r="H15" s="384">
        <v>-20000</v>
      </c>
    </row>
    <row r="16" spans="1:8" ht="12.75" customHeight="1" x14ac:dyDescent="0.25">
      <c r="A16" s="359"/>
      <c r="B16" s="368"/>
      <c r="C16" s="369" t="s">
        <v>3</v>
      </c>
      <c r="D16" s="354" t="s">
        <v>988</v>
      </c>
      <c r="E16" s="366" t="s">
        <v>987</v>
      </c>
      <c r="F16" s="371">
        <v>45869</v>
      </c>
      <c r="G16" s="384">
        <v>-7065.25</v>
      </c>
      <c r="H16" s="384">
        <v>-7065.25</v>
      </c>
    </row>
    <row r="17" spans="1:8" ht="12.75" customHeight="1" x14ac:dyDescent="0.25">
      <c r="A17" s="359"/>
      <c r="B17" s="368"/>
      <c r="C17" s="369"/>
      <c r="D17" s="370"/>
      <c r="E17" s="368"/>
      <c r="F17" s="371"/>
      <c r="G17" s="373"/>
      <c r="H17" s="369"/>
    </row>
    <row r="18" spans="1:8" ht="12.75" customHeight="1" x14ac:dyDescent="0.25">
      <c r="A18" s="359"/>
      <c r="B18" s="374"/>
      <c r="C18" s="369"/>
      <c r="D18" s="370"/>
      <c r="E18" s="368"/>
      <c r="F18" s="371"/>
      <c r="G18" s="372"/>
      <c r="H18" s="372"/>
    </row>
    <row r="19" spans="1:8" ht="12.75" customHeight="1" x14ac:dyDescent="0.25">
      <c r="A19" s="359"/>
      <c r="B19" s="368"/>
      <c r="C19" s="369"/>
      <c r="D19" s="370"/>
      <c r="E19" s="368"/>
      <c r="F19" s="371"/>
      <c r="G19" s="372"/>
      <c r="H19" s="372"/>
    </row>
    <row r="20" spans="1:8" ht="12.75" customHeight="1" x14ac:dyDescent="0.25">
      <c r="A20" s="359"/>
      <c r="B20" s="368"/>
      <c r="C20" s="369"/>
      <c r="D20" s="370"/>
      <c r="E20" s="368"/>
      <c r="F20" s="371"/>
      <c r="G20" s="373"/>
      <c r="H20" s="369"/>
    </row>
    <row r="21" spans="1:8" ht="12.75" customHeight="1" x14ac:dyDescent="0.25">
      <c r="A21" s="359"/>
      <c r="B21" s="368"/>
      <c r="C21" s="369"/>
      <c r="D21" s="370"/>
      <c r="E21" s="368"/>
      <c r="F21" s="371"/>
      <c r="G21" s="373"/>
      <c r="H21" s="369"/>
    </row>
    <row r="22" spans="1:8" ht="12.75" customHeight="1" x14ac:dyDescent="0.25">
      <c r="A22" s="359"/>
      <c r="B22" s="368"/>
      <c r="C22" s="369"/>
      <c r="D22" s="370"/>
      <c r="E22" s="368"/>
      <c r="F22" s="359"/>
      <c r="G22" s="372"/>
      <c r="H22" s="372"/>
    </row>
    <row r="23" spans="1:8" ht="12.75" customHeight="1" x14ac:dyDescent="0.25">
      <c r="A23" s="359"/>
      <c r="B23" s="368"/>
      <c r="C23" s="369"/>
      <c r="D23" s="370"/>
      <c r="E23" s="368"/>
      <c r="F23" s="359"/>
      <c r="G23" s="372"/>
      <c r="H23" s="372"/>
    </row>
    <row r="24" spans="1:8" ht="15.75" thickBot="1" x14ac:dyDescent="0.3">
      <c r="A24" s="308"/>
      <c r="B24" s="309" t="s">
        <v>9</v>
      </c>
      <c r="C24" s="310">
        <f>SUM(C9:C23)</f>
        <v>0</v>
      </c>
      <c r="D24" s="311" t="s">
        <v>10</v>
      </c>
      <c r="E24" s="312"/>
      <c r="F24" s="313"/>
      <c r="G24" s="208">
        <f>SUM(G9:G23)</f>
        <v>112934.75</v>
      </c>
      <c r="H24" s="208">
        <f>SUM(H9:H23)</f>
        <v>112934.75</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5">
    <tabColor rgb="FF0070C0"/>
    <pageSetUpPr fitToPage="1"/>
  </sheetPr>
  <dimension ref="A1:I3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09" t="str">
        <f>'RECAP #9424.00'!B1</f>
        <v>HHS STS Main Electrical Loop Revisions</v>
      </c>
      <c r="B1" s="109"/>
      <c r="C1" s="179"/>
      <c r="D1" s="179"/>
      <c r="E1" s="179"/>
      <c r="F1" s="180"/>
      <c r="G1" s="180"/>
      <c r="H1" s="181"/>
      <c r="I1" s="181"/>
    </row>
    <row r="2" spans="1:9" ht="15.75" x14ac:dyDescent="0.25">
      <c r="A2" s="126" t="str">
        <f>'RECAP #9424.00'!B2</f>
        <v>Project # 9424.00</v>
      </c>
      <c r="B2" s="182"/>
      <c r="C2" s="179"/>
      <c r="D2" s="179"/>
      <c r="E2" s="179"/>
      <c r="F2" s="180"/>
      <c r="G2" s="180"/>
      <c r="H2" s="181"/>
      <c r="I2" s="181"/>
    </row>
    <row r="3" spans="1:9" ht="15.75" x14ac:dyDescent="0.25">
      <c r="A3" s="183" t="str">
        <f>'RECAP #9424.00'!B3</f>
        <v>Program code 942400</v>
      </c>
      <c r="B3" s="182"/>
      <c r="C3" s="179"/>
      <c r="D3" s="184" t="str">
        <f>'RECAP #9424.00'!E3</f>
        <v>Major Program 4E02</v>
      </c>
      <c r="E3" s="179"/>
      <c r="F3" s="180"/>
      <c r="G3" s="180"/>
      <c r="H3" s="181"/>
      <c r="I3" s="181"/>
    </row>
    <row r="4" spans="1:9" ht="15.75" x14ac:dyDescent="0.25">
      <c r="A4" s="109" t="s">
        <v>142</v>
      </c>
      <c r="B4" s="126"/>
      <c r="C4" s="181"/>
      <c r="D4" s="185" t="s">
        <v>144</v>
      </c>
      <c r="E4" s="180"/>
      <c r="F4" s="180"/>
      <c r="G4" s="180"/>
      <c r="H4" s="181"/>
      <c r="I4" s="181"/>
    </row>
    <row r="5" spans="1:9" ht="15.75" x14ac:dyDescent="0.25">
      <c r="A5" s="186" t="s">
        <v>143</v>
      </c>
      <c r="B5" s="181"/>
      <c r="C5" s="187"/>
      <c r="D5" s="132" t="s">
        <v>145</v>
      </c>
      <c r="E5" s="137"/>
      <c r="F5" s="180"/>
      <c r="G5" s="180"/>
      <c r="H5" s="181"/>
      <c r="I5" s="181"/>
    </row>
    <row r="6" spans="1:9" ht="15.75" x14ac:dyDescent="0.25">
      <c r="A6" s="126" t="str">
        <f>'RECAP #9424.00'!B6</f>
        <v>Project Manager - Jennifer K.</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147</v>
      </c>
      <c r="B9" s="196">
        <v>45519</v>
      </c>
      <c r="C9" s="197" t="s">
        <v>107</v>
      </c>
      <c r="D9" s="198">
        <v>13925</v>
      </c>
      <c r="E9" s="199">
        <f>D9</f>
        <v>13925</v>
      </c>
      <c r="F9" s="200"/>
      <c r="G9" s="200"/>
      <c r="H9" s="200">
        <f>E9</f>
        <v>13925</v>
      </c>
      <c r="I9" s="137"/>
    </row>
    <row r="10" spans="1:9" x14ac:dyDescent="0.25">
      <c r="A10" s="195" t="s">
        <v>270</v>
      </c>
      <c r="B10" s="201">
        <v>45574</v>
      </c>
      <c r="C10" s="197" t="s">
        <v>271</v>
      </c>
      <c r="D10" s="199"/>
      <c r="E10" s="199">
        <f t="shared" ref="E10:E21" si="0">E9+D10</f>
        <v>13925</v>
      </c>
      <c r="F10" s="203">
        <v>8925</v>
      </c>
      <c r="G10" s="200">
        <f t="shared" ref="G10:G21" si="1">G9+F10</f>
        <v>8925</v>
      </c>
      <c r="H10" s="200">
        <f t="shared" ref="H10:H21" si="2">H9-F10+D10</f>
        <v>5000</v>
      </c>
      <c r="I10" s="137"/>
    </row>
    <row r="11" spans="1:9" x14ac:dyDescent="0.25">
      <c r="A11" s="195" t="s">
        <v>388</v>
      </c>
      <c r="B11" s="196">
        <v>45663</v>
      </c>
      <c r="C11" s="197" t="s">
        <v>389</v>
      </c>
      <c r="D11" s="199"/>
      <c r="E11" s="199">
        <f t="shared" si="0"/>
        <v>13925</v>
      </c>
      <c r="F11" s="203">
        <v>2500</v>
      </c>
      <c r="G11" s="200">
        <f t="shared" si="1"/>
        <v>11425</v>
      </c>
      <c r="H11" s="200">
        <f t="shared" si="2"/>
        <v>2500</v>
      </c>
      <c r="I11" s="137"/>
    </row>
    <row r="12" spans="1:9" x14ac:dyDescent="0.25">
      <c r="A12" s="195" t="s">
        <v>872</v>
      </c>
      <c r="B12" s="196">
        <v>45831</v>
      </c>
      <c r="C12" s="197" t="s">
        <v>873</v>
      </c>
      <c r="D12" s="199"/>
      <c r="E12" s="199">
        <f t="shared" si="0"/>
        <v>13925</v>
      </c>
      <c r="F12" s="203">
        <v>2500</v>
      </c>
      <c r="G12" s="200">
        <f t="shared" si="1"/>
        <v>13925</v>
      </c>
      <c r="H12" s="200">
        <f t="shared" si="2"/>
        <v>0</v>
      </c>
      <c r="I12" s="137"/>
    </row>
    <row r="13" spans="1:9" x14ac:dyDescent="0.25">
      <c r="A13" s="195"/>
      <c r="B13" s="196"/>
      <c r="C13" s="197"/>
      <c r="D13" s="199"/>
      <c r="E13" s="199">
        <f t="shared" si="0"/>
        <v>13925</v>
      </c>
      <c r="F13" s="203"/>
      <c r="G13" s="200">
        <f t="shared" si="1"/>
        <v>13925</v>
      </c>
      <c r="H13" s="200">
        <f t="shared" si="2"/>
        <v>0</v>
      </c>
      <c r="I13" s="137"/>
    </row>
    <row r="14" spans="1:9" x14ac:dyDescent="0.25">
      <c r="A14" s="195"/>
      <c r="B14" s="196"/>
      <c r="C14" s="197"/>
      <c r="D14" s="199"/>
      <c r="E14" s="199">
        <f t="shared" si="0"/>
        <v>13925</v>
      </c>
      <c r="F14" s="200"/>
      <c r="G14" s="200">
        <f t="shared" si="1"/>
        <v>13925</v>
      </c>
      <c r="H14" s="200">
        <f t="shared" si="2"/>
        <v>0</v>
      </c>
      <c r="I14" s="137"/>
    </row>
    <row r="15" spans="1:9" x14ac:dyDescent="0.25">
      <c r="A15" s="195"/>
      <c r="B15" s="196"/>
      <c r="C15" s="197"/>
      <c r="D15" s="199"/>
      <c r="E15" s="199">
        <f t="shared" si="0"/>
        <v>13925</v>
      </c>
      <c r="F15" s="203"/>
      <c r="G15" s="200">
        <f t="shared" si="1"/>
        <v>13925</v>
      </c>
      <c r="H15" s="200">
        <f t="shared" si="2"/>
        <v>0</v>
      </c>
      <c r="I15" s="137"/>
    </row>
    <row r="16" spans="1:9" x14ac:dyDescent="0.25">
      <c r="A16" s="195"/>
      <c r="B16" s="196"/>
      <c r="C16" s="197"/>
      <c r="D16" s="199"/>
      <c r="E16" s="199">
        <f t="shared" si="0"/>
        <v>13925</v>
      </c>
      <c r="F16" s="203"/>
      <c r="G16" s="200">
        <f t="shared" si="1"/>
        <v>13925</v>
      </c>
      <c r="H16" s="200">
        <f t="shared" si="2"/>
        <v>0</v>
      </c>
      <c r="I16" s="137"/>
    </row>
    <row r="17" spans="1:9" x14ac:dyDescent="0.25">
      <c r="A17" s="195"/>
      <c r="B17" s="196"/>
      <c r="C17" s="197"/>
      <c r="D17" s="199"/>
      <c r="E17" s="199">
        <f t="shared" si="0"/>
        <v>13925</v>
      </c>
      <c r="F17" s="203"/>
      <c r="G17" s="200">
        <f t="shared" si="1"/>
        <v>13925</v>
      </c>
      <c r="H17" s="200">
        <f t="shared" si="2"/>
        <v>0</v>
      </c>
      <c r="I17" s="137"/>
    </row>
    <row r="18" spans="1:9" x14ac:dyDescent="0.25">
      <c r="A18" s="195"/>
      <c r="B18" s="196"/>
      <c r="C18" s="197"/>
      <c r="D18" s="199"/>
      <c r="E18" s="199">
        <f t="shared" si="0"/>
        <v>13925</v>
      </c>
      <c r="F18" s="203"/>
      <c r="G18" s="200">
        <f t="shared" si="1"/>
        <v>13925</v>
      </c>
      <c r="H18" s="200">
        <f t="shared" si="2"/>
        <v>0</v>
      </c>
      <c r="I18" s="137"/>
    </row>
    <row r="19" spans="1:9" x14ac:dyDescent="0.25">
      <c r="A19" s="195"/>
      <c r="B19" s="196"/>
      <c r="C19" s="197"/>
      <c r="D19" s="199"/>
      <c r="E19" s="199">
        <f t="shared" si="0"/>
        <v>13925</v>
      </c>
      <c r="F19" s="200"/>
      <c r="G19" s="200">
        <f t="shared" si="1"/>
        <v>13925</v>
      </c>
      <c r="H19" s="200">
        <f t="shared" si="2"/>
        <v>0</v>
      </c>
      <c r="I19" s="137"/>
    </row>
    <row r="20" spans="1:9" x14ac:dyDescent="0.25">
      <c r="A20" s="195"/>
      <c r="B20" s="196"/>
      <c r="C20" s="197"/>
      <c r="D20" s="199"/>
      <c r="E20" s="199">
        <f t="shared" si="0"/>
        <v>13925</v>
      </c>
      <c r="F20" s="200"/>
      <c r="G20" s="200">
        <f t="shared" si="1"/>
        <v>13925</v>
      </c>
      <c r="H20" s="200">
        <f t="shared" si="2"/>
        <v>0</v>
      </c>
      <c r="I20" s="137"/>
    </row>
    <row r="21" spans="1:9" x14ac:dyDescent="0.25">
      <c r="A21" s="195"/>
      <c r="B21" s="196"/>
      <c r="C21" s="204"/>
      <c r="D21" s="199"/>
      <c r="E21" s="199">
        <f t="shared" si="0"/>
        <v>13925</v>
      </c>
      <c r="F21" s="200"/>
      <c r="G21" s="200">
        <f t="shared" si="1"/>
        <v>13925</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13925</v>
      </c>
      <c r="E23" s="208"/>
      <c r="F23" s="208">
        <f>SUM(F9:F22)</f>
        <v>13925</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148</v>
      </c>
      <c r="D26" s="200">
        <v>7425</v>
      </c>
      <c r="E26" s="200"/>
      <c r="F26" s="200">
        <f>7425</f>
        <v>7425</v>
      </c>
      <c r="G26" s="200"/>
      <c r="H26" s="200">
        <f>D26-F26</f>
        <v>0</v>
      </c>
      <c r="I26" s="137"/>
    </row>
    <row r="27" spans="1:9" x14ac:dyDescent="0.25">
      <c r="A27" s="195"/>
      <c r="B27" s="197"/>
      <c r="C27" s="205" t="s">
        <v>149</v>
      </c>
      <c r="D27" s="200">
        <v>1500</v>
      </c>
      <c r="E27" s="200"/>
      <c r="F27" s="200">
        <f>1500</f>
        <v>1500</v>
      </c>
      <c r="G27" s="200"/>
      <c r="H27" s="200">
        <f>D27-F27</f>
        <v>0</v>
      </c>
      <c r="I27" s="137"/>
    </row>
    <row r="28" spans="1:9" x14ac:dyDescent="0.25">
      <c r="A28" s="195"/>
      <c r="B28" s="197"/>
      <c r="C28" s="205" t="s">
        <v>150</v>
      </c>
      <c r="D28" s="200">
        <v>5000</v>
      </c>
      <c r="E28" s="200"/>
      <c r="F28" s="200">
        <f>2500+2500</f>
        <v>5000</v>
      </c>
      <c r="G28" s="200"/>
      <c r="H28" s="200">
        <f>D28-F28</f>
        <v>0</v>
      </c>
      <c r="I28" s="137"/>
    </row>
    <row r="29" spans="1:9" ht="15.75" thickBot="1" x14ac:dyDescent="0.3">
      <c r="A29" s="195"/>
      <c r="B29" s="197"/>
      <c r="C29" s="324" t="s">
        <v>555</v>
      </c>
      <c r="D29" s="208">
        <f>SUM(D26:D28)</f>
        <v>13925</v>
      </c>
      <c r="E29" s="210"/>
      <c r="F29" s="208">
        <f>SUM(F26:F28)</f>
        <v>13925</v>
      </c>
      <c r="G29" s="210"/>
      <c r="H29" s="208">
        <f>SUM(H26:H28)</f>
        <v>0</v>
      </c>
      <c r="I29" s="137"/>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6">
    <tabColor rgb="FF0070C0"/>
    <pageSetUpPr fitToPage="1"/>
  </sheetPr>
  <dimension ref="A1:J127"/>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4.57031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#9424.00'!B1</f>
        <v>HHS STS Main Electrical Loop Revisions</v>
      </c>
      <c r="B1" s="109"/>
      <c r="C1" s="109"/>
      <c r="D1" s="179"/>
      <c r="E1" s="179"/>
      <c r="F1" s="179"/>
      <c r="G1" s="180"/>
      <c r="H1" s="180"/>
      <c r="I1" s="181"/>
      <c r="J1" s="181"/>
    </row>
    <row r="2" spans="1:10" ht="15.75" x14ac:dyDescent="0.25">
      <c r="A2" s="126" t="str">
        <f>'RECAP #9424.00'!B2</f>
        <v>Project # 9424.00</v>
      </c>
      <c r="B2" s="182"/>
      <c r="C2" s="182"/>
      <c r="D2" s="179"/>
      <c r="E2" s="179"/>
      <c r="F2" s="179"/>
      <c r="G2" s="180"/>
      <c r="H2" s="180"/>
      <c r="I2" s="181"/>
      <c r="J2" s="181"/>
    </row>
    <row r="3" spans="1:10" ht="15.75" x14ac:dyDescent="0.25">
      <c r="A3" s="183" t="str">
        <f>'RECAP #9424.00'!B3</f>
        <v>Program code 942400</v>
      </c>
      <c r="B3" s="182"/>
      <c r="C3" s="182"/>
      <c r="D3" s="179"/>
      <c r="E3" s="184" t="str">
        <f>'RECAP #9424.00'!E3</f>
        <v>Major Program 4E02</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#9424.00'!B6</f>
        <v>Project Manager - Jennifer K.</v>
      </c>
      <c r="B6" s="126"/>
      <c r="C6" s="126"/>
      <c r="D6" s="188"/>
      <c r="E6" s="132" t="s">
        <v>86</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30" customFormat="1" ht="12.75" customHeight="1" x14ac:dyDescent="0.25">
      <c r="A9" s="563"/>
      <c r="B9" s="500"/>
      <c r="C9" s="500"/>
      <c r="D9" s="515" t="s">
        <v>92</v>
      </c>
      <c r="E9" s="404">
        <f>6800+2000-280.29</f>
        <v>8519.7099999999991</v>
      </c>
      <c r="F9" s="502">
        <f>E9</f>
        <v>8519.7099999999991</v>
      </c>
      <c r="G9" s="503"/>
      <c r="H9" s="503"/>
      <c r="I9" s="503">
        <f>F9</f>
        <v>8519.7099999999991</v>
      </c>
      <c r="J9" s="504"/>
    </row>
    <row r="10" spans="1:10" s="330" customFormat="1" ht="12.75" customHeight="1" x14ac:dyDescent="0.25">
      <c r="A10" s="564" t="s">
        <v>134</v>
      </c>
      <c r="B10" s="500">
        <v>45511</v>
      </c>
      <c r="C10" s="565">
        <v>2507</v>
      </c>
      <c r="D10" s="515" t="s">
        <v>135</v>
      </c>
      <c r="E10" s="502"/>
      <c r="F10" s="502">
        <f t="shared" ref="F10:F30" si="0">F9+E10</f>
        <v>8519.7099999999991</v>
      </c>
      <c r="G10" s="406">
        <f>93.55+48.38</f>
        <v>141.93</v>
      </c>
      <c r="H10" s="503">
        <f t="shared" ref="H10:H30" si="1">H9+G10</f>
        <v>141.93</v>
      </c>
      <c r="I10" s="503">
        <f t="shared" ref="I10:I30" si="2">I9-G10+E10</f>
        <v>8377.7799999999988</v>
      </c>
      <c r="J10" s="504"/>
    </row>
    <row r="11" spans="1:10" s="330" customFormat="1" ht="12.75" customHeight="1" x14ac:dyDescent="0.25">
      <c r="A11" s="564" t="s">
        <v>134</v>
      </c>
      <c r="B11" s="500">
        <v>45511</v>
      </c>
      <c r="C11" s="565">
        <v>9500</v>
      </c>
      <c r="D11" s="515" t="s">
        <v>136</v>
      </c>
      <c r="E11" s="502"/>
      <c r="F11" s="502">
        <f t="shared" si="0"/>
        <v>8519.7099999999991</v>
      </c>
      <c r="G11" s="406">
        <f>122.5+1426.7</f>
        <v>1549.2</v>
      </c>
      <c r="H11" s="503">
        <f t="shared" si="1"/>
        <v>1691.13</v>
      </c>
      <c r="I11" s="503">
        <f t="shared" si="2"/>
        <v>6828.579999999999</v>
      </c>
      <c r="J11" s="504"/>
    </row>
    <row r="12" spans="1:10" s="330" customFormat="1" ht="12.75" customHeight="1" x14ac:dyDescent="0.25">
      <c r="A12" s="564" t="s">
        <v>217</v>
      </c>
      <c r="B12" s="500">
        <v>45544</v>
      </c>
      <c r="C12" s="565">
        <v>2507</v>
      </c>
      <c r="D12" s="515" t="s">
        <v>218</v>
      </c>
      <c r="E12" s="502"/>
      <c r="F12" s="502">
        <f t="shared" si="0"/>
        <v>8519.7099999999991</v>
      </c>
      <c r="G12" s="406">
        <f>160.01+68.02</f>
        <v>228.02999999999997</v>
      </c>
      <c r="H12" s="503">
        <f t="shared" si="1"/>
        <v>1919.16</v>
      </c>
      <c r="I12" s="503">
        <f t="shared" si="2"/>
        <v>6600.5499999999993</v>
      </c>
      <c r="J12" s="504"/>
    </row>
    <row r="13" spans="1:10" s="330" customFormat="1" ht="12.75" customHeight="1" x14ac:dyDescent="0.25">
      <c r="A13" s="564" t="s">
        <v>217</v>
      </c>
      <c r="B13" s="500">
        <v>45544</v>
      </c>
      <c r="C13" s="565">
        <v>9500</v>
      </c>
      <c r="D13" s="515" t="s">
        <v>219</v>
      </c>
      <c r="E13" s="502"/>
      <c r="F13" s="502">
        <f t="shared" si="0"/>
        <v>8519.7099999999991</v>
      </c>
      <c r="G13" s="406">
        <f>83.5+1076.9</f>
        <v>1160.4000000000001</v>
      </c>
      <c r="H13" s="503">
        <f t="shared" si="1"/>
        <v>3079.5600000000004</v>
      </c>
      <c r="I13" s="503">
        <f t="shared" si="2"/>
        <v>5440.15</v>
      </c>
      <c r="J13" s="504"/>
    </row>
    <row r="14" spans="1:10" s="330" customFormat="1" ht="12.75" customHeight="1" x14ac:dyDescent="0.25">
      <c r="A14" s="564" t="s">
        <v>274</v>
      </c>
      <c r="B14" s="500">
        <v>45574</v>
      </c>
      <c r="C14" s="565">
        <v>2507</v>
      </c>
      <c r="D14" s="515" t="s">
        <v>293</v>
      </c>
      <c r="E14" s="502"/>
      <c r="F14" s="502">
        <f t="shared" si="0"/>
        <v>8519.7099999999991</v>
      </c>
      <c r="G14" s="406">
        <f>114.29+41.37</f>
        <v>155.66</v>
      </c>
      <c r="H14" s="503">
        <f t="shared" si="1"/>
        <v>3235.2200000000003</v>
      </c>
      <c r="I14" s="503">
        <f t="shared" si="2"/>
        <v>5284.49</v>
      </c>
      <c r="J14" s="504"/>
    </row>
    <row r="15" spans="1:10" s="330" customFormat="1" ht="12.75" customHeight="1" x14ac:dyDescent="0.25">
      <c r="A15" s="564" t="s">
        <v>274</v>
      </c>
      <c r="B15" s="500">
        <v>45574</v>
      </c>
      <c r="C15" s="565">
        <v>9500</v>
      </c>
      <c r="D15" s="515" t="s">
        <v>294</v>
      </c>
      <c r="E15" s="502"/>
      <c r="F15" s="502">
        <f t="shared" si="0"/>
        <v>8519.7099999999991</v>
      </c>
      <c r="G15" s="406">
        <f>89.5+1293.6</f>
        <v>1383.1</v>
      </c>
      <c r="H15" s="503">
        <f t="shared" si="1"/>
        <v>4618.32</v>
      </c>
      <c r="I15" s="503">
        <f t="shared" si="2"/>
        <v>3901.39</v>
      </c>
      <c r="J15" s="504"/>
    </row>
    <row r="16" spans="1:10" s="330" customFormat="1" ht="12.75" customHeight="1" x14ac:dyDescent="0.25">
      <c r="A16" s="564" t="s">
        <v>314</v>
      </c>
      <c r="B16" s="500">
        <v>45603</v>
      </c>
      <c r="C16" s="565">
        <v>2507</v>
      </c>
      <c r="D16" s="515" t="s">
        <v>315</v>
      </c>
      <c r="E16" s="502"/>
      <c r="F16" s="502">
        <f t="shared" si="0"/>
        <v>8519.7099999999991</v>
      </c>
      <c r="G16" s="406">
        <f>58.42+119.2</f>
        <v>177.62</v>
      </c>
      <c r="H16" s="503">
        <f t="shared" si="1"/>
        <v>4795.9399999999996</v>
      </c>
      <c r="I16" s="503">
        <f t="shared" si="2"/>
        <v>3723.77</v>
      </c>
      <c r="J16" s="504"/>
    </row>
    <row r="17" spans="1:10" s="330" customFormat="1" ht="12.75" customHeight="1" x14ac:dyDescent="0.25">
      <c r="A17" s="564" t="s">
        <v>314</v>
      </c>
      <c r="B17" s="500">
        <v>45603</v>
      </c>
      <c r="C17" s="565">
        <v>9500</v>
      </c>
      <c r="D17" s="515" t="s">
        <v>316</v>
      </c>
      <c r="E17" s="502"/>
      <c r="F17" s="502">
        <f t="shared" si="0"/>
        <v>8519.7099999999991</v>
      </c>
      <c r="G17" s="406">
        <f>93+1094.5</f>
        <v>1187.5</v>
      </c>
      <c r="H17" s="503">
        <f t="shared" si="1"/>
        <v>5983.44</v>
      </c>
      <c r="I17" s="503">
        <f t="shared" si="2"/>
        <v>2536.27</v>
      </c>
      <c r="J17" s="504"/>
    </row>
    <row r="18" spans="1:10" s="330" customFormat="1" ht="12.75" customHeight="1" x14ac:dyDescent="0.25">
      <c r="A18" s="564" t="s">
        <v>343</v>
      </c>
      <c r="B18" s="351">
        <v>45635</v>
      </c>
      <c r="C18" s="357">
        <v>2507</v>
      </c>
      <c r="D18" s="352" t="s">
        <v>344</v>
      </c>
      <c r="E18" s="502"/>
      <c r="F18" s="502">
        <f t="shared" si="0"/>
        <v>8519.7099999999991</v>
      </c>
      <c r="G18" s="406">
        <f>10.16+18.23</f>
        <v>28.39</v>
      </c>
      <c r="H18" s="503">
        <f t="shared" si="1"/>
        <v>6011.83</v>
      </c>
      <c r="I18" s="503">
        <f t="shared" si="2"/>
        <v>2507.88</v>
      </c>
      <c r="J18" s="504"/>
    </row>
    <row r="19" spans="1:10" s="330" customFormat="1" ht="12.75" customHeight="1" x14ac:dyDescent="0.25">
      <c r="A19" s="564" t="s">
        <v>343</v>
      </c>
      <c r="B19" s="351">
        <v>45635</v>
      </c>
      <c r="C19" s="357">
        <v>9500</v>
      </c>
      <c r="D19" s="352" t="s">
        <v>345</v>
      </c>
      <c r="E19" s="502"/>
      <c r="F19" s="502">
        <f t="shared" si="0"/>
        <v>8519.7099999999991</v>
      </c>
      <c r="G19" s="406">
        <f>12.5+174.9</f>
        <v>187.4</v>
      </c>
      <c r="H19" s="503">
        <f t="shared" si="1"/>
        <v>6199.23</v>
      </c>
      <c r="I19" s="503">
        <f t="shared" si="2"/>
        <v>2320.48</v>
      </c>
      <c r="J19" s="504"/>
    </row>
    <row r="20" spans="1:10" s="330" customFormat="1" ht="12.75" customHeight="1" x14ac:dyDescent="0.25">
      <c r="A20" s="564" t="s">
        <v>404</v>
      </c>
      <c r="B20" s="351">
        <v>45666</v>
      </c>
      <c r="C20" s="357">
        <v>2507</v>
      </c>
      <c r="D20" s="352" t="s">
        <v>405</v>
      </c>
      <c r="E20" s="502"/>
      <c r="F20" s="502">
        <f t="shared" si="0"/>
        <v>8519.7099999999991</v>
      </c>
      <c r="G20" s="406">
        <f>8.47+9.82</f>
        <v>18.29</v>
      </c>
      <c r="H20" s="503">
        <f t="shared" si="1"/>
        <v>6217.5199999999995</v>
      </c>
      <c r="I20" s="503">
        <f t="shared" si="2"/>
        <v>2302.19</v>
      </c>
      <c r="J20" s="504"/>
    </row>
    <row r="21" spans="1:10" s="330" customFormat="1" ht="12.75" customHeight="1" x14ac:dyDescent="0.25">
      <c r="A21" s="564" t="s">
        <v>404</v>
      </c>
      <c r="B21" s="351">
        <v>45666</v>
      </c>
      <c r="C21" s="357">
        <v>9500</v>
      </c>
      <c r="D21" s="352" t="s">
        <v>406</v>
      </c>
      <c r="E21" s="502"/>
      <c r="F21" s="502">
        <f t="shared" si="0"/>
        <v>8519.7099999999991</v>
      </c>
      <c r="G21" s="406">
        <f>13+169.4</f>
        <v>182.4</v>
      </c>
      <c r="H21" s="503">
        <f t="shared" si="1"/>
        <v>6399.9199999999992</v>
      </c>
      <c r="I21" s="503">
        <f t="shared" si="2"/>
        <v>2119.79</v>
      </c>
      <c r="J21" s="504"/>
    </row>
    <row r="22" spans="1:10" s="330" customFormat="1" ht="12.75" customHeight="1" x14ac:dyDescent="0.25">
      <c r="A22" s="564" t="s">
        <v>506</v>
      </c>
      <c r="B22" s="351">
        <v>45699</v>
      </c>
      <c r="C22" s="357">
        <v>2507</v>
      </c>
      <c r="D22" s="352" t="s">
        <v>507</v>
      </c>
      <c r="E22" s="502"/>
      <c r="F22" s="502">
        <f t="shared" si="0"/>
        <v>8519.7099999999991</v>
      </c>
      <c r="G22" s="406">
        <f>6.77+8.41</f>
        <v>15.18</v>
      </c>
      <c r="H22" s="503">
        <f t="shared" si="1"/>
        <v>6415.0999999999995</v>
      </c>
      <c r="I22" s="503">
        <f t="shared" si="2"/>
        <v>2104.61</v>
      </c>
      <c r="J22" s="504"/>
    </row>
    <row r="23" spans="1:10" s="330" customFormat="1" ht="12.75" customHeight="1" x14ac:dyDescent="0.25">
      <c r="A23" s="564" t="s">
        <v>506</v>
      </c>
      <c r="B23" s="351">
        <v>45699</v>
      </c>
      <c r="C23" s="357">
        <v>9500</v>
      </c>
      <c r="D23" s="352" t="s">
        <v>508</v>
      </c>
      <c r="E23" s="502"/>
      <c r="F23" s="502">
        <f t="shared" si="0"/>
        <v>8519.7099999999991</v>
      </c>
      <c r="G23" s="406">
        <f>10.5+156.2</f>
        <v>166.7</v>
      </c>
      <c r="H23" s="503">
        <f t="shared" si="1"/>
        <v>6581.7999999999993</v>
      </c>
      <c r="I23" s="503">
        <f t="shared" si="2"/>
        <v>1937.91</v>
      </c>
      <c r="J23" s="504"/>
    </row>
    <row r="24" spans="1:10" s="330" customFormat="1" ht="12.75" customHeight="1" x14ac:dyDescent="0.25">
      <c r="A24" s="564" t="s">
        <v>559</v>
      </c>
      <c r="B24" s="500">
        <v>45723</v>
      </c>
      <c r="C24" s="565">
        <v>2507</v>
      </c>
      <c r="D24" s="352" t="s">
        <v>560</v>
      </c>
      <c r="E24" s="502"/>
      <c r="F24" s="502">
        <f t="shared" si="0"/>
        <v>8519.7099999999991</v>
      </c>
      <c r="G24" s="406">
        <f>4.66+16.13</f>
        <v>20.79</v>
      </c>
      <c r="H24" s="503">
        <f t="shared" si="1"/>
        <v>6602.5899999999992</v>
      </c>
      <c r="I24" s="503">
        <f t="shared" si="2"/>
        <v>1917.1200000000001</v>
      </c>
      <c r="J24" s="504"/>
    </row>
    <row r="25" spans="1:10" s="330" customFormat="1" ht="12.75" customHeight="1" x14ac:dyDescent="0.25">
      <c r="A25" s="564" t="s">
        <v>559</v>
      </c>
      <c r="B25" s="500">
        <v>45723</v>
      </c>
      <c r="C25" s="565">
        <v>9500</v>
      </c>
      <c r="D25" s="352" t="s">
        <v>561</v>
      </c>
      <c r="E25" s="502"/>
      <c r="F25" s="502">
        <f t="shared" si="0"/>
        <v>8519.7099999999991</v>
      </c>
      <c r="G25" s="406">
        <f>6.5+83.6</f>
        <v>90.1</v>
      </c>
      <c r="H25" s="503">
        <f t="shared" si="1"/>
        <v>6692.69</v>
      </c>
      <c r="I25" s="503">
        <f t="shared" si="2"/>
        <v>1827.0200000000002</v>
      </c>
      <c r="J25" s="504"/>
    </row>
    <row r="26" spans="1:10" s="330" customFormat="1" ht="12.75" customHeight="1" x14ac:dyDescent="0.25">
      <c r="A26" s="564" t="s">
        <v>822</v>
      </c>
      <c r="B26" s="500">
        <v>45817</v>
      </c>
      <c r="C26" s="565">
        <v>2507</v>
      </c>
      <c r="D26" s="352" t="s">
        <v>823</v>
      </c>
      <c r="E26" s="502"/>
      <c r="F26" s="502">
        <f t="shared" si="0"/>
        <v>8519.7099999999991</v>
      </c>
      <c r="G26" s="406">
        <f>65.19+53.29</f>
        <v>118.47999999999999</v>
      </c>
      <c r="H26" s="503">
        <f t="shared" si="1"/>
        <v>6811.1699999999992</v>
      </c>
      <c r="I26" s="503">
        <f t="shared" si="2"/>
        <v>1708.5400000000002</v>
      </c>
      <c r="J26" s="504"/>
    </row>
    <row r="27" spans="1:10" s="330" customFormat="1" ht="12.75" customHeight="1" x14ac:dyDescent="0.25">
      <c r="A27" s="564" t="s">
        <v>822</v>
      </c>
      <c r="B27" s="500">
        <v>45817</v>
      </c>
      <c r="C27" s="565">
        <v>9500</v>
      </c>
      <c r="D27" s="352" t="s">
        <v>824</v>
      </c>
      <c r="E27" s="502"/>
      <c r="F27" s="502">
        <f t="shared" si="0"/>
        <v>8519.7099999999991</v>
      </c>
      <c r="G27" s="406">
        <f>75.5+851.4</f>
        <v>926.9</v>
      </c>
      <c r="H27" s="503">
        <f t="shared" si="1"/>
        <v>7738.0699999999988</v>
      </c>
      <c r="I27" s="503">
        <f t="shared" si="2"/>
        <v>781.64000000000021</v>
      </c>
      <c r="J27" s="504"/>
    </row>
    <row r="28" spans="1:10" s="330" customFormat="1" ht="12.75" customHeight="1" x14ac:dyDescent="0.25">
      <c r="A28" s="564" t="s">
        <v>942</v>
      </c>
      <c r="B28" s="500">
        <v>45848</v>
      </c>
      <c r="C28" s="565">
        <v>2507</v>
      </c>
      <c r="D28" s="352" t="s">
        <v>943</v>
      </c>
      <c r="E28" s="502"/>
      <c r="F28" s="502">
        <f t="shared" si="0"/>
        <v>8519.7099999999991</v>
      </c>
      <c r="G28" s="406">
        <f>41.06+47.68</f>
        <v>88.740000000000009</v>
      </c>
      <c r="H28" s="503">
        <f t="shared" si="1"/>
        <v>7826.8099999999986</v>
      </c>
      <c r="I28" s="503">
        <f t="shared" si="2"/>
        <v>692.9000000000002</v>
      </c>
      <c r="J28" s="504"/>
    </row>
    <row r="29" spans="1:10" s="330" customFormat="1" ht="12.75" customHeight="1" x14ac:dyDescent="0.25">
      <c r="A29" s="564" t="s">
        <v>942</v>
      </c>
      <c r="B29" s="500">
        <v>45848</v>
      </c>
      <c r="C29" s="565">
        <v>9500</v>
      </c>
      <c r="D29" s="352" t="s">
        <v>944</v>
      </c>
      <c r="E29" s="502"/>
      <c r="F29" s="502">
        <f t="shared" si="0"/>
        <v>8519.7099999999991</v>
      </c>
      <c r="G29" s="406">
        <f>61.5+631.4</f>
        <v>692.9</v>
      </c>
      <c r="H29" s="503">
        <f t="shared" si="1"/>
        <v>8519.7099999999991</v>
      </c>
      <c r="I29" s="503">
        <f t="shared" si="2"/>
        <v>2.2737367544323206E-13</v>
      </c>
      <c r="J29" s="504"/>
    </row>
    <row r="30" spans="1:10" s="330" customFormat="1" ht="12.75" customHeight="1" x14ac:dyDescent="0.25">
      <c r="A30" s="564"/>
      <c r="B30" s="351"/>
      <c r="C30" s="357"/>
      <c r="D30" s="352"/>
      <c r="E30" s="502"/>
      <c r="F30" s="502">
        <f t="shared" si="0"/>
        <v>8519.7099999999991</v>
      </c>
      <c r="G30" s="406"/>
      <c r="H30" s="503">
        <f t="shared" si="1"/>
        <v>8519.7099999999991</v>
      </c>
      <c r="I30" s="503">
        <f t="shared" si="2"/>
        <v>2.2737367544323206E-13</v>
      </c>
      <c r="J30" s="504"/>
    </row>
    <row r="31" spans="1:10" s="330" customFormat="1" ht="12.75" customHeight="1" x14ac:dyDescent="0.25">
      <c r="A31" s="352"/>
      <c r="B31" s="501"/>
      <c r="C31" s="501"/>
      <c r="D31" s="515"/>
      <c r="E31" s="503"/>
      <c r="F31" s="502"/>
      <c r="G31" s="503"/>
      <c r="H31" s="503"/>
      <c r="I31" s="503"/>
      <c r="J31" s="504"/>
    </row>
    <row r="32" spans="1:10" s="330" customFormat="1" ht="12.75" customHeight="1" thickBot="1" x14ac:dyDescent="0.3">
      <c r="A32" s="352"/>
      <c r="B32" s="516"/>
      <c r="C32" s="516"/>
      <c r="D32" s="517" t="s">
        <v>54</v>
      </c>
      <c r="E32" s="405">
        <f>SUM(E9:E31)</f>
        <v>8519.7099999999991</v>
      </c>
      <c r="F32" s="405"/>
      <c r="G32" s="405">
        <f>SUM(G9:G31)</f>
        <v>8519.7099999999991</v>
      </c>
      <c r="H32" s="405"/>
      <c r="I32" s="405">
        <f>E32-G32</f>
        <v>0</v>
      </c>
      <c r="J32" s="50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7">
    <tabColor rgb="FF0070C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7109375" customWidth="1"/>
    <col min="6" max="6" width="18.42578125" customWidth="1"/>
    <col min="7" max="7" width="12.42578125" customWidth="1"/>
    <col min="8" max="8" width="15.42578125" customWidth="1"/>
  </cols>
  <sheetData>
    <row r="1" spans="1:8" ht="15.75" x14ac:dyDescent="0.25">
      <c r="A1" s="78" t="str">
        <f>'RECAP #9424.00'!B1</f>
        <v>HHS STS Main Electrical Loop Revisions</v>
      </c>
      <c r="B1" s="79"/>
      <c r="C1" s="79"/>
      <c r="D1" s="79"/>
      <c r="E1" s="6"/>
      <c r="F1" s="6"/>
      <c r="G1" s="6"/>
      <c r="H1" s="124"/>
    </row>
    <row r="2" spans="1:8" ht="15.75" x14ac:dyDescent="0.25">
      <c r="A2" s="81" t="str">
        <f>'RECAP #9424.00'!B2</f>
        <v>Project # 9424.00</v>
      </c>
      <c r="B2" s="80"/>
      <c r="C2" s="80"/>
      <c r="D2" s="80"/>
      <c r="E2" s="6"/>
      <c r="F2" s="6"/>
      <c r="G2" s="6"/>
      <c r="H2" s="124"/>
    </row>
    <row r="3" spans="1:8" ht="15.75" x14ac:dyDescent="0.25">
      <c r="A3" s="82" t="str">
        <f>'RECAP #9424.00'!B3</f>
        <v>Program code 942400</v>
      </c>
      <c r="B3" s="80"/>
      <c r="C3" s="80"/>
      <c r="D3" s="80"/>
      <c r="E3" s="83" t="str">
        <f>'RECAP #9424.00'!E3</f>
        <v>Major Program 4E02</v>
      </c>
      <c r="F3" s="80"/>
      <c r="G3" s="6"/>
      <c r="H3" s="124"/>
    </row>
    <row r="4" spans="1:8" ht="15.75" x14ac:dyDescent="0.25">
      <c r="A4" s="166" t="s">
        <v>14</v>
      </c>
      <c r="B4" s="167"/>
      <c r="C4" s="167"/>
      <c r="D4" s="167"/>
      <c r="E4" s="128"/>
      <c r="F4" s="80"/>
      <c r="G4" s="124"/>
      <c r="H4" s="124"/>
    </row>
    <row r="5" spans="1:8" ht="15.75" x14ac:dyDescent="0.25">
      <c r="A5" s="129" t="s">
        <v>61</v>
      </c>
      <c r="B5" s="130"/>
      <c r="C5" s="130"/>
      <c r="D5" s="130"/>
      <c r="E5" s="168" t="s">
        <v>58</v>
      </c>
      <c r="F5" s="80"/>
      <c r="G5" s="133"/>
      <c r="H5" s="134"/>
    </row>
    <row r="6" spans="1:8" ht="15.75" x14ac:dyDescent="0.25">
      <c r="A6" s="86" t="str">
        <f>'RECAP #9424.00'!B6</f>
        <v>Project Manager - Jennifer K.</v>
      </c>
      <c r="B6" s="86"/>
      <c r="C6" s="86"/>
      <c r="D6" s="86"/>
      <c r="E6" s="83" t="s">
        <v>334</v>
      </c>
      <c r="F6" s="130"/>
      <c r="G6" s="133"/>
      <c r="H6" s="134"/>
    </row>
    <row r="7" spans="1:8" ht="15.75" x14ac:dyDescent="0.25">
      <c r="A7" s="80"/>
      <c r="B7" s="139"/>
      <c r="C7" s="139"/>
      <c r="D7" s="139"/>
      <c r="E7" s="139"/>
      <c r="F7" s="80"/>
      <c r="G7" s="134"/>
      <c r="H7" s="134"/>
    </row>
    <row r="8" spans="1:8" ht="32.25" thickBot="1" x14ac:dyDescent="0.3">
      <c r="A8" s="140" t="s">
        <v>59</v>
      </c>
      <c r="B8" s="141" t="s">
        <v>4</v>
      </c>
      <c r="C8" s="160" t="s">
        <v>56</v>
      </c>
      <c r="D8" s="160" t="s">
        <v>57</v>
      </c>
      <c r="E8" s="142" t="s">
        <v>11</v>
      </c>
      <c r="F8" s="143" t="s">
        <v>60</v>
      </c>
      <c r="G8" s="143" t="s">
        <v>52</v>
      </c>
      <c r="H8" s="143" t="s">
        <v>53</v>
      </c>
    </row>
    <row r="9" spans="1:8" x14ac:dyDescent="0.25">
      <c r="A9" s="151"/>
      <c r="B9" s="145"/>
      <c r="C9" s="162"/>
      <c r="D9" s="162"/>
      <c r="E9" s="133"/>
      <c r="F9" s="170"/>
      <c r="G9" s="218"/>
      <c r="H9" s="155">
        <f>G9</f>
        <v>0</v>
      </c>
    </row>
    <row r="10" spans="1:8" x14ac:dyDescent="0.25">
      <c r="A10" s="162"/>
      <c r="B10" s="145"/>
      <c r="C10" s="152"/>
      <c r="D10" s="152"/>
      <c r="E10" s="133"/>
      <c r="F10" s="99"/>
      <c r="G10" s="155"/>
      <c r="H10" s="155">
        <f>H9+G10</f>
        <v>0</v>
      </c>
    </row>
    <row r="11" spans="1:8" x14ac:dyDescent="0.25">
      <c r="A11" s="162"/>
      <c r="B11" s="145"/>
      <c r="C11" s="145"/>
      <c r="D11" s="145"/>
      <c r="E11" s="133"/>
      <c r="F11" s="99"/>
      <c r="G11" s="155"/>
      <c r="H11" s="155">
        <f t="shared" ref="H11:H20" si="0">H10+G11</f>
        <v>0</v>
      </c>
    </row>
    <row r="12" spans="1:8" x14ac:dyDescent="0.25">
      <c r="A12" s="162" t="s">
        <v>3</v>
      </c>
      <c r="B12" s="145" t="s">
        <v>3</v>
      </c>
      <c r="C12" s="145"/>
      <c r="D12" s="145"/>
      <c r="E12" s="133" t="s">
        <v>3</v>
      </c>
      <c r="F12" s="99"/>
      <c r="G12" s="155"/>
      <c r="H12" s="155">
        <f t="shared" si="0"/>
        <v>0</v>
      </c>
    </row>
    <row r="13" spans="1:8" x14ac:dyDescent="0.25">
      <c r="A13" s="162" t="s">
        <v>3</v>
      </c>
      <c r="B13" s="145" t="s">
        <v>3</v>
      </c>
      <c r="C13" s="145"/>
      <c r="D13" s="145"/>
      <c r="E13" s="133" t="s">
        <v>3</v>
      </c>
      <c r="F13" s="99"/>
      <c r="G13" s="155"/>
      <c r="H13" s="155">
        <f t="shared" si="0"/>
        <v>0</v>
      </c>
    </row>
    <row r="14" spans="1:8" x14ac:dyDescent="0.25">
      <c r="A14" s="162"/>
      <c r="B14" s="145"/>
      <c r="C14" s="145"/>
      <c r="D14" s="145"/>
      <c r="E14" s="133"/>
      <c r="F14" s="99"/>
      <c r="G14" s="155"/>
      <c r="H14" s="155">
        <f t="shared" si="0"/>
        <v>0</v>
      </c>
    </row>
    <row r="15" spans="1:8" x14ac:dyDescent="0.25">
      <c r="A15" s="162"/>
      <c r="B15" s="145"/>
      <c r="C15" s="145"/>
      <c r="D15" s="145"/>
      <c r="E15" s="171"/>
      <c r="F15" s="99"/>
      <c r="G15" s="155"/>
      <c r="H15" s="155">
        <f t="shared" si="0"/>
        <v>0</v>
      </c>
    </row>
    <row r="16" spans="1:8" x14ac:dyDescent="0.25">
      <c r="A16" s="162"/>
      <c r="B16" s="145"/>
      <c r="C16" s="145"/>
      <c r="D16" s="145"/>
      <c r="E16" s="133"/>
      <c r="F16" s="99"/>
      <c r="G16" s="155"/>
      <c r="H16" s="155">
        <f t="shared" si="0"/>
        <v>0</v>
      </c>
    </row>
    <row r="17" spans="1:8" x14ac:dyDescent="0.25">
      <c r="A17" s="144"/>
      <c r="B17" s="145"/>
      <c r="C17" s="145"/>
      <c r="D17" s="145"/>
      <c r="E17" s="133"/>
      <c r="F17" s="99"/>
      <c r="G17" s="155"/>
      <c r="H17" s="155">
        <f t="shared" si="0"/>
        <v>0</v>
      </c>
    </row>
    <row r="18" spans="1:8" x14ac:dyDescent="0.25">
      <c r="A18" s="144"/>
      <c r="B18" s="145"/>
      <c r="C18" s="145"/>
      <c r="D18" s="145"/>
      <c r="E18" s="133"/>
      <c r="F18" s="99"/>
      <c r="G18" s="155"/>
      <c r="H18" s="155">
        <f t="shared" si="0"/>
        <v>0</v>
      </c>
    </row>
    <row r="19" spans="1:8" x14ac:dyDescent="0.25">
      <c r="A19" s="144"/>
      <c r="B19" s="145"/>
      <c r="C19" s="145"/>
      <c r="D19" s="145"/>
      <c r="E19" s="133"/>
      <c r="F19" s="99"/>
      <c r="G19" s="155"/>
      <c r="H19" s="155">
        <f t="shared" si="0"/>
        <v>0</v>
      </c>
    </row>
    <row r="20" spans="1:8" x14ac:dyDescent="0.25">
      <c r="A20" s="144"/>
      <c r="B20" s="145"/>
      <c r="C20" s="145"/>
      <c r="D20" s="145"/>
      <c r="E20" s="133"/>
      <c r="F20" s="99"/>
      <c r="G20" s="155"/>
      <c r="H20" s="155">
        <f t="shared" si="0"/>
        <v>0</v>
      </c>
    </row>
    <row r="21" spans="1:8" x14ac:dyDescent="0.25">
      <c r="A21" s="144"/>
      <c r="B21" s="152"/>
      <c r="C21" s="152"/>
      <c r="D21" s="152"/>
      <c r="E21" s="133"/>
      <c r="F21" s="155"/>
      <c r="G21" s="133"/>
      <c r="H21" s="155"/>
    </row>
    <row r="22" spans="1:8" ht="15.75" thickBot="1" x14ac:dyDescent="0.3">
      <c r="A22" s="172"/>
      <c r="B22" s="173"/>
      <c r="C22" s="173"/>
      <c r="D22" s="173"/>
      <c r="E22" s="174" t="s">
        <v>54</v>
      </c>
      <c r="F22" s="175"/>
      <c r="G22" s="123">
        <f>SUM(G9:G21)</f>
        <v>0</v>
      </c>
      <c r="H22" s="175"/>
    </row>
    <row r="23"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8">
    <tabColor rgb="FF0070C0"/>
    <pageSetUpPr fitToPage="1"/>
  </sheetPr>
  <dimension ref="A1:I29"/>
  <sheetViews>
    <sheetView tabSelected="1" topLeftCell="A4"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09" t="str">
        <f>'RECAP #9424.00'!B1</f>
        <v>HHS STS Main Electrical Loop Revisions</v>
      </c>
      <c r="B1" s="109"/>
      <c r="C1" s="179"/>
      <c r="D1" s="179"/>
      <c r="E1" s="179"/>
      <c r="F1" s="180"/>
      <c r="G1" s="180"/>
      <c r="H1" s="181"/>
      <c r="I1" s="181"/>
    </row>
    <row r="2" spans="1:9" ht="15.75" x14ac:dyDescent="0.25">
      <c r="A2" s="126" t="str">
        <f>'RECAP #9424.00'!B2</f>
        <v>Project # 9424.00</v>
      </c>
      <c r="B2" s="182"/>
      <c r="C2" s="179"/>
      <c r="D2" s="179"/>
      <c r="E2" s="179"/>
      <c r="F2" s="180"/>
      <c r="G2" s="180"/>
      <c r="H2" s="181"/>
      <c r="I2" s="181"/>
    </row>
    <row r="3" spans="1:9" ht="15.75" x14ac:dyDescent="0.25">
      <c r="A3" s="183" t="str">
        <f>'RECAP #9424.00'!B3</f>
        <v>Program code 942400</v>
      </c>
      <c r="B3" s="182"/>
      <c r="C3" s="179"/>
      <c r="D3" s="184" t="str">
        <f>'RECAP #9424.00'!E3</f>
        <v>Major Program 4E02</v>
      </c>
      <c r="E3" s="179"/>
      <c r="F3" s="180"/>
      <c r="G3" s="180"/>
      <c r="H3" s="181"/>
      <c r="I3" s="181"/>
    </row>
    <row r="4" spans="1:9" ht="15.75" x14ac:dyDescent="0.25">
      <c r="A4" s="109" t="s">
        <v>113</v>
      </c>
      <c r="B4" s="126"/>
      <c r="C4" s="181"/>
      <c r="D4" s="185" t="s">
        <v>115</v>
      </c>
      <c r="E4" s="180"/>
      <c r="F4" s="180"/>
      <c r="G4" s="180"/>
      <c r="H4" s="181"/>
      <c r="I4" s="181"/>
    </row>
    <row r="5" spans="1:9" ht="15.75" x14ac:dyDescent="0.25">
      <c r="A5" s="186" t="s">
        <v>109</v>
      </c>
      <c r="B5" s="181"/>
      <c r="C5" s="187"/>
      <c r="D5" s="176" t="s">
        <v>120</v>
      </c>
      <c r="E5" s="137"/>
      <c r="F5" s="180"/>
      <c r="G5" s="180"/>
      <c r="H5" s="181"/>
      <c r="I5" s="181"/>
    </row>
    <row r="6" spans="1:9" ht="15.75" x14ac:dyDescent="0.25">
      <c r="A6" s="126" t="str">
        <f>'RECAP #9424.00'!B6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258</v>
      </c>
      <c r="B9" s="196">
        <v>45567</v>
      </c>
      <c r="C9" s="197" t="s">
        <v>107</v>
      </c>
      <c r="D9" s="198">
        <v>16471.939999999999</v>
      </c>
      <c r="E9" s="199">
        <f>D9</f>
        <v>16471.939999999999</v>
      </c>
      <c r="F9" s="200"/>
      <c r="G9" s="200"/>
      <c r="H9" s="200">
        <f>E9</f>
        <v>16471.939999999999</v>
      </c>
      <c r="I9" s="137"/>
    </row>
    <row r="10" spans="1:9" x14ac:dyDescent="0.25">
      <c r="A10" s="195" t="s">
        <v>330</v>
      </c>
      <c r="B10" s="201">
        <v>45615</v>
      </c>
      <c r="C10" s="197" t="s">
        <v>331</v>
      </c>
      <c r="D10" s="199"/>
      <c r="E10" s="199">
        <f t="shared" ref="E10:E21" si="0">E9+D10</f>
        <v>16471.939999999999</v>
      </c>
      <c r="F10" s="203">
        <v>2320.67</v>
      </c>
      <c r="G10" s="200">
        <f t="shared" ref="G10:G21" si="1">G9+F10</f>
        <v>2320.67</v>
      </c>
      <c r="H10" s="200">
        <f t="shared" ref="H10:H21" si="2">H9-F10+D10</f>
        <v>14151.269999999999</v>
      </c>
      <c r="I10" s="137"/>
    </row>
    <row r="11" spans="1:9" x14ac:dyDescent="0.25">
      <c r="A11" s="195" t="s">
        <v>358</v>
      </c>
      <c r="B11" s="196">
        <v>45644</v>
      </c>
      <c r="C11" s="197" t="s">
        <v>359</v>
      </c>
      <c r="D11" s="199"/>
      <c r="E11" s="199">
        <f t="shared" si="0"/>
        <v>16471.939999999999</v>
      </c>
      <c r="F11" s="203">
        <v>1394.02</v>
      </c>
      <c r="G11" s="200">
        <f t="shared" si="1"/>
        <v>3714.69</v>
      </c>
      <c r="H11" s="200">
        <f t="shared" si="2"/>
        <v>12757.249999999998</v>
      </c>
      <c r="I11" s="137"/>
    </row>
    <row r="12" spans="1:9" x14ac:dyDescent="0.25">
      <c r="A12" s="195" t="s">
        <v>451</v>
      </c>
      <c r="B12" s="196">
        <v>45674</v>
      </c>
      <c r="C12" s="197" t="s">
        <v>452</v>
      </c>
      <c r="D12" s="199"/>
      <c r="E12" s="199">
        <f t="shared" si="0"/>
        <v>16471.939999999999</v>
      </c>
      <c r="F12" s="203">
        <v>4333.42</v>
      </c>
      <c r="G12" s="200">
        <f t="shared" si="1"/>
        <v>8048.1100000000006</v>
      </c>
      <c r="H12" s="200">
        <f t="shared" si="2"/>
        <v>8423.8299999999981</v>
      </c>
      <c r="I12" s="137"/>
    </row>
    <row r="13" spans="1:9" x14ac:dyDescent="0.25">
      <c r="A13" s="195" t="s">
        <v>502</v>
      </c>
      <c r="B13" s="196">
        <v>45700</v>
      </c>
      <c r="C13" s="197" t="s">
        <v>503</v>
      </c>
      <c r="D13" s="199"/>
      <c r="E13" s="199">
        <f t="shared" si="0"/>
        <v>16471.939999999999</v>
      </c>
      <c r="F13" s="203">
        <v>172.67</v>
      </c>
      <c r="G13" s="200">
        <f t="shared" si="1"/>
        <v>8220.7800000000007</v>
      </c>
      <c r="H13" s="200">
        <f t="shared" si="2"/>
        <v>8251.159999999998</v>
      </c>
      <c r="I13" s="137"/>
    </row>
    <row r="14" spans="1:9" x14ac:dyDescent="0.25">
      <c r="A14" s="195" t="s">
        <v>884</v>
      </c>
      <c r="B14" s="196">
        <v>45832</v>
      </c>
      <c r="C14" s="197" t="s">
        <v>885</v>
      </c>
      <c r="D14" s="202">
        <v>-6603.9</v>
      </c>
      <c r="E14" s="199">
        <f t="shared" si="0"/>
        <v>9868.0399999999991</v>
      </c>
      <c r="F14" s="203">
        <v>1647.26</v>
      </c>
      <c r="G14" s="200">
        <f t="shared" si="1"/>
        <v>9868.0400000000009</v>
      </c>
      <c r="H14" s="200">
        <f t="shared" si="2"/>
        <v>0</v>
      </c>
      <c r="I14" s="137"/>
    </row>
    <row r="15" spans="1:9" x14ac:dyDescent="0.25">
      <c r="A15" s="195"/>
      <c r="B15" s="196"/>
      <c r="C15" s="197"/>
      <c r="D15" s="199"/>
      <c r="E15" s="199">
        <f t="shared" si="0"/>
        <v>9868.0399999999991</v>
      </c>
      <c r="F15" s="203"/>
      <c r="G15" s="200">
        <f t="shared" si="1"/>
        <v>9868.0400000000009</v>
      </c>
      <c r="H15" s="200">
        <f t="shared" si="2"/>
        <v>0</v>
      </c>
      <c r="I15" s="137"/>
    </row>
    <row r="16" spans="1:9" x14ac:dyDescent="0.25">
      <c r="A16" s="195"/>
      <c r="B16" s="196"/>
      <c r="C16" s="197"/>
      <c r="D16" s="199"/>
      <c r="E16" s="199">
        <f t="shared" si="0"/>
        <v>9868.0399999999991</v>
      </c>
      <c r="F16" s="203"/>
      <c r="G16" s="200">
        <f t="shared" si="1"/>
        <v>9868.0400000000009</v>
      </c>
      <c r="H16" s="200">
        <f t="shared" si="2"/>
        <v>0</v>
      </c>
      <c r="I16" s="137"/>
    </row>
    <row r="17" spans="1:9" x14ac:dyDescent="0.25">
      <c r="A17" s="195"/>
      <c r="B17" s="196"/>
      <c r="C17" s="197"/>
      <c r="D17" s="199"/>
      <c r="E17" s="199">
        <f t="shared" si="0"/>
        <v>9868.0399999999991</v>
      </c>
      <c r="F17" s="203"/>
      <c r="G17" s="200">
        <f t="shared" si="1"/>
        <v>9868.0400000000009</v>
      </c>
      <c r="H17" s="200">
        <f t="shared" si="2"/>
        <v>0</v>
      </c>
      <c r="I17" s="137"/>
    </row>
    <row r="18" spans="1:9" x14ac:dyDescent="0.25">
      <c r="A18" s="195"/>
      <c r="B18" s="196"/>
      <c r="C18" s="197"/>
      <c r="D18" s="199"/>
      <c r="E18" s="199">
        <f t="shared" si="0"/>
        <v>9868.0399999999991</v>
      </c>
      <c r="F18" s="203"/>
      <c r="G18" s="200">
        <f t="shared" si="1"/>
        <v>9868.0400000000009</v>
      </c>
      <c r="H18" s="200">
        <f t="shared" si="2"/>
        <v>0</v>
      </c>
      <c r="I18" s="137"/>
    </row>
    <row r="19" spans="1:9" x14ac:dyDescent="0.25">
      <c r="A19" s="195"/>
      <c r="B19" s="196"/>
      <c r="C19" s="197"/>
      <c r="D19" s="199"/>
      <c r="E19" s="199">
        <f t="shared" si="0"/>
        <v>9868.0399999999991</v>
      </c>
      <c r="F19" s="200"/>
      <c r="G19" s="200">
        <f t="shared" si="1"/>
        <v>9868.0400000000009</v>
      </c>
      <c r="H19" s="200">
        <f t="shared" si="2"/>
        <v>0</v>
      </c>
      <c r="I19" s="137"/>
    </row>
    <row r="20" spans="1:9" x14ac:dyDescent="0.25">
      <c r="A20" s="195"/>
      <c r="B20" s="196"/>
      <c r="C20" s="197"/>
      <c r="D20" s="199"/>
      <c r="E20" s="199">
        <f t="shared" si="0"/>
        <v>9868.0399999999991</v>
      </c>
      <c r="F20" s="200"/>
      <c r="G20" s="200">
        <f t="shared" si="1"/>
        <v>9868.0400000000009</v>
      </c>
      <c r="H20" s="200">
        <f t="shared" si="2"/>
        <v>0</v>
      </c>
      <c r="I20" s="137"/>
    </row>
    <row r="21" spans="1:9" x14ac:dyDescent="0.25">
      <c r="A21" s="195"/>
      <c r="B21" s="196"/>
      <c r="C21" s="204"/>
      <c r="D21" s="199"/>
      <c r="E21" s="199">
        <f t="shared" si="0"/>
        <v>9868.0399999999991</v>
      </c>
      <c r="F21" s="200"/>
      <c r="G21" s="200">
        <f t="shared" si="1"/>
        <v>9868.0400000000009</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9868.0399999999991</v>
      </c>
      <c r="E23" s="208"/>
      <c r="F23" s="208">
        <f>SUM(F9:F22)</f>
        <v>9868.0400000000009</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192</v>
      </c>
      <c r="D26" s="200">
        <f>15591.94-6203.9</f>
        <v>9388.0400000000009</v>
      </c>
      <c r="E26" s="200"/>
      <c r="F26" s="200">
        <f>2240.67+1394.02+4093.42+172.67+1487.26</f>
        <v>9388.0400000000009</v>
      </c>
      <c r="G26" s="200"/>
      <c r="H26" s="200">
        <f>D26-F26</f>
        <v>0</v>
      </c>
      <c r="I26" s="137"/>
    </row>
    <row r="27" spans="1:9" x14ac:dyDescent="0.25">
      <c r="A27" s="195"/>
      <c r="B27" s="197"/>
      <c r="C27" s="205" t="s">
        <v>118</v>
      </c>
      <c r="D27" s="200">
        <f>880-400</f>
        <v>480</v>
      </c>
      <c r="E27" s="200"/>
      <c r="F27" s="200">
        <f>80+240+160</f>
        <v>480</v>
      </c>
      <c r="G27" s="200"/>
      <c r="H27" s="200">
        <f>D27-F27</f>
        <v>0</v>
      </c>
      <c r="I27" s="137"/>
    </row>
    <row r="28" spans="1:9" ht="15.75" thickBot="1" x14ac:dyDescent="0.3">
      <c r="A28" s="195"/>
      <c r="B28" s="197"/>
      <c r="C28" s="324" t="s">
        <v>555</v>
      </c>
      <c r="D28" s="208">
        <f>SUM(D26:D27)</f>
        <v>9868.0400000000009</v>
      </c>
      <c r="E28" s="210"/>
      <c r="F28" s="208">
        <f>SUM(F26:F27)</f>
        <v>9868.0400000000009</v>
      </c>
      <c r="G28" s="210"/>
      <c r="H28" s="208">
        <f>SUM(H26:H27)</f>
        <v>0</v>
      </c>
      <c r="I28" s="137"/>
    </row>
    <row r="29"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I115"/>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2.28515625" customWidth="1"/>
    <col min="9" max="9" width="7" customWidth="1"/>
  </cols>
  <sheetData>
    <row r="1" spans="1:9" ht="15.75" x14ac:dyDescent="0.25">
      <c r="A1" s="109" t="str">
        <f>'RECAP #9239.02'!B1</f>
        <v>DOC-NCF-IPI Homes or Iowa Facility Project Phase II(Warehouse)</v>
      </c>
      <c r="B1" s="109"/>
      <c r="C1" s="179"/>
      <c r="D1" s="179"/>
      <c r="E1" s="179"/>
      <c r="F1" s="180"/>
      <c r="G1" s="180"/>
      <c r="H1" s="181"/>
      <c r="I1" s="181"/>
    </row>
    <row r="2" spans="1:9" ht="15.75" x14ac:dyDescent="0.25">
      <c r="A2" s="126" t="str">
        <f>'RECAP #9239.02'!B2</f>
        <v>Project # 9239.02</v>
      </c>
      <c r="B2" s="182"/>
      <c r="C2" s="179"/>
      <c r="D2" s="179"/>
      <c r="E2" s="179"/>
      <c r="F2" s="180"/>
      <c r="G2" s="180"/>
      <c r="H2" s="181"/>
      <c r="I2" s="181"/>
    </row>
    <row r="3" spans="1:9" ht="15.75" x14ac:dyDescent="0.25">
      <c r="A3" s="183" t="str">
        <f>'RECAP #9239.02'!B3</f>
        <v>Program code 923902</v>
      </c>
      <c r="B3" s="182"/>
      <c r="C3" s="179"/>
      <c r="D3" s="184" t="str">
        <f>'RECAP #9239.02'!E3</f>
        <v>Major Program 4B01</v>
      </c>
      <c r="E3" s="179"/>
      <c r="F3" s="180"/>
      <c r="G3" s="180"/>
      <c r="H3" s="181"/>
      <c r="I3" s="181"/>
    </row>
    <row r="4" spans="1:9" ht="15.75" x14ac:dyDescent="0.25">
      <c r="A4" s="109" t="s">
        <v>779</v>
      </c>
      <c r="B4" s="126"/>
      <c r="C4" s="181"/>
      <c r="D4" s="185" t="s">
        <v>482</v>
      </c>
      <c r="E4" s="180"/>
      <c r="F4" s="180"/>
      <c r="G4" s="180"/>
      <c r="H4" s="181"/>
      <c r="I4" s="181"/>
    </row>
    <row r="5" spans="1:9" ht="15.75" x14ac:dyDescent="0.25">
      <c r="A5" s="186" t="s">
        <v>109</v>
      </c>
      <c r="B5" s="181"/>
      <c r="C5" s="187"/>
      <c r="D5" s="132" t="s">
        <v>483</v>
      </c>
      <c r="E5" s="137"/>
      <c r="F5" s="180"/>
      <c r="G5" s="180"/>
      <c r="H5" s="181"/>
      <c r="I5" s="181"/>
    </row>
    <row r="6" spans="1:9" ht="15.75" x14ac:dyDescent="0.25">
      <c r="A6" s="126" t="str">
        <f>'RECAP #9239.02'!B6</f>
        <v>Project Manager - Brad T.</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s="330" customFormat="1" ht="12.75" customHeight="1" x14ac:dyDescent="0.25">
      <c r="A9" s="499" t="s">
        <v>785</v>
      </c>
      <c r="B9" s="500">
        <v>45805</v>
      </c>
      <c r="C9" s="501" t="s">
        <v>107</v>
      </c>
      <c r="D9" s="404">
        <v>39889.480000000003</v>
      </c>
      <c r="E9" s="502">
        <f>D9</f>
        <v>39889.480000000003</v>
      </c>
      <c r="F9" s="503"/>
      <c r="G9" s="503"/>
      <c r="H9" s="503">
        <f>E9</f>
        <v>39889.480000000003</v>
      </c>
      <c r="I9" s="503"/>
    </row>
    <row r="10" spans="1:9" s="330" customFormat="1" ht="12.75" customHeight="1" x14ac:dyDescent="0.25">
      <c r="A10" s="505" t="s">
        <v>961</v>
      </c>
      <c r="B10" s="506">
        <v>45854</v>
      </c>
      <c r="C10" s="507" t="s">
        <v>962</v>
      </c>
      <c r="D10" s="508"/>
      <c r="E10" s="508">
        <f t="shared" ref="E10:E21" si="0">E9+D10</f>
        <v>39889.480000000003</v>
      </c>
      <c r="F10" s="509">
        <v>10588.48</v>
      </c>
      <c r="G10" s="510">
        <f t="shared" ref="G10:G21" si="1">G9+F10</f>
        <v>10588.48</v>
      </c>
      <c r="H10" s="510">
        <f t="shared" ref="H10:H21" si="2">H9-F10+D10</f>
        <v>29301.000000000004</v>
      </c>
      <c r="I10" s="566" t="s">
        <v>1015</v>
      </c>
    </row>
    <row r="11" spans="1:9" s="330" customFormat="1" ht="12.75" customHeight="1" x14ac:dyDescent="0.25">
      <c r="A11" s="499" t="s">
        <v>1019</v>
      </c>
      <c r="B11" s="500">
        <v>45889</v>
      </c>
      <c r="C11" s="501" t="s">
        <v>1017</v>
      </c>
      <c r="D11" s="404">
        <v>0</v>
      </c>
      <c r="E11" s="502">
        <f t="shared" si="0"/>
        <v>39889.480000000003</v>
      </c>
      <c r="F11" s="406"/>
      <c r="G11" s="503">
        <f t="shared" si="1"/>
        <v>10588.48</v>
      </c>
      <c r="H11" s="503">
        <f t="shared" si="2"/>
        <v>29301.000000000004</v>
      </c>
      <c r="I11" s="503"/>
    </row>
    <row r="12" spans="1:9" s="330" customFormat="1" ht="12.75" customHeight="1" x14ac:dyDescent="0.25">
      <c r="A12" s="499" t="s">
        <v>1096</v>
      </c>
      <c r="B12" s="500">
        <v>45908</v>
      </c>
      <c r="C12" s="501" t="s">
        <v>1097</v>
      </c>
      <c r="D12" s="502"/>
      <c r="E12" s="502">
        <f t="shared" si="0"/>
        <v>39889.480000000003</v>
      </c>
      <c r="F12" s="406">
        <v>10492.27</v>
      </c>
      <c r="G12" s="503">
        <f t="shared" si="1"/>
        <v>21080.75</v>
      </c>
      <c r="H12" s="503">
        <f t="shared" si="2"/>
        <v>18808.730000000003</v>
      </c>
      <c r="I12" s="503"/>
    </row>
    <row r="13" spans="1:9" s="330" customFormat="1" ht="12.75" customHeight="1" x14ac:dyDescent="0.25">
      <c r="A13" s="499" t="s">
        <v>1133</v>
      </c>
      <c r="B13" s="500">
        <v>45915</v>
      </c>
      <c r="C13" s="501" t="s">
        <v>1134</v>
      </c>
      <c r="D13" s="502"/>
      <c r="E13" s="502">
        <f t="shared" si="0"/>
        <v>39889.480000000003</v>
      </c>
      <c r="F13" s="406">
        <v>7239.5</v>
      </c>
      <c r="G13" s="503">
        <f t="shared" si="1"/>
        <v>28320.25</v>
      </c>
      <c r="H13" s="503">
        <f t="shared" si="2"/>
        <v>11569.230000000003</v>
      </c>
      <c r="I13" s="503"/>
    </row>
    <row r="14" spans="1:9" s="330" customFormat="1" ht="12.75" customHeight="1" x14ac:dyDescent="0.25">
      <c r="A14" s="499" t="s">
        <v>1231</v>
      </c>
      <c r="B14" s="500">
        <v>45937</v>
      </c>
      <c r="C14" s="501" t="s">
        <v>1232</v>
      </c>
      <c r="D14" s="502"/>
      <c r="E14" s="502">
        <f t="shared" si="0"/>
        <v>39889.480000000003</v>
      </c>
      <c r="F14" s="406">
        <v>4797.3</v>
      </c>
      <c r="G14" s="503">
        <f t="shared" si="1"/>
        <v>33117.550000000003</v>
      </c>
      <c r="H14" s="503">
        <f t="shared" si="2"/>
        <v>6771.930000000003</v>
      </c>
      <c r="I14" s="503"/>
    </row>
    <row r="15" spans="1:9" s="330" customFormat="1" ht="12.75" customHeight="1" x14ac:dyDescent="0.25">
      <c r="A15" s="499" t="s">
        <v>1337</v>
      </c>
      <c r="B15" s="500">
        <v>45974</v>
      </c>
      <c r="C15" s="501" t="s">
        <v>1338</v>
      </c>
      <c r="D15" s="512">
        <v>-576.54999999999995</v>
      </c>
      <c r="E15" s="502">
        <f t="shared" si="0"/>
        <v>39312.93</v>
      </c>
      <c r="F15" s="406">
        <v>6195.38</v>
      </c>
      <c r="G15" s="503">
        <f t="shared" si="1"/>
        <v>39312.93</v>
      </c>
      <c r="H15" s="503">
        <f t="shared" si="2"/>
        <v>2.9558577807620168E-12</v>
      </c>
      <c r="I15" s="503"/>
    </row>
    <row r="16" spans="1:9" s="330" customFormat="1" ht="12.75" customHeight="1" x14ac:dyDescent="0.25">
      <c r="A16" s="499"/>
      <c r="B16" s="500"/>
      <c r="C16" s="501"/>
      <c r="D16" s="502"/>
      <c r="E16" s="502">
        <f t="shared" si="0"/>
        <v>39312.93</v>
      </c>
      <c r="F16" s="406"/>
      <c r="G16" s="503">
        <f t="shared" si="1"/>
        <v>39312.93</v>
      </c>
      <c r="H16" s="503">
        <f t="shared" si="2"/>
        <v>2.9558577807620168E-12</v>
      </c>
      <c r="I16" s="503"/>
    </row>
    <row r="17" spans="1:9" s="330" customFormat="1" ht="12.75" customHeight="1" x14ac:dyDescent="0.25">
      <c r="A17" s="499"/>
      <c r="B17" s="500"/>
      <c r="C17" s="501"/>
      <c r="D17" s="502"/>
      <c r="E17" s="502">
        <f t="shared" si="0"/>
        <v>39312.93</v>
      </c>
      <c r="F17" s="406"/>
      <c r="G17" s="503">
        <f t="shared" si="1"/>
        <v>39312.93</v>
      </c>
      <c r="H17" s="503">
        <f t="shared" si="2"/>
        <v>2.9558577807620168E-12</v>
      </c>
      <c r="I17" s="503"/>
    </row>
    <row r="18" spans="1:9" s="330" customFormat="1" ht="12.75" customHeight="1" x14ac:dyDescent="0.25">
      <c r="A18" s="499"/>
      <c r="B18" s="500"/>
      <c r="C18" s="501"/>
      <c r="D18" s="502"/>
      <c r="E18" s="502">
        <f t="shared" si="0"/>
        <v>39312.93</v>
      </c>
      <c r="F18" s="406"/>
      <c r="G18" s="503">
        <f t="shared" si="1"/>
        <v>39312.93</v>
      </c>
      <c r="H18" s="503">
        <f t="shared" si="2"/>
        <v>2.9558577807620168E-12</v>
      </c>
      <c r="I18" s="503"/>
    </row>
    <row r="19" spans="1:9" s="330" customFormat="1" ht="12.75" customHeight="1" x14ac:dyDescent="0.25">
      <c r="A19" s="499"/>
      <c r="B19" s="500"/>
      <c r="C19" s="501"/>
      <c r="D19" s="502"/>
      <c r="E19" s="502">
        <f t="shared" si="0"/>
        <v>39312.93</v>
      </c>
      <c r="F19" s="503"/>
      <c r="G19" s="503">
        <f t="shared" si="1"/>
        <v>39312.93</v>
      </c>
      <c r="H19" s="503">
        <f t="shared" si="2"/>
        <v>2.9558577807620168E-12</v>
      </c>
      <c r="I19" s="503"/>
    </row>
    <row r="20" spans="1:9" s="330" customFormat="1" ht="12.75" customHeight="1" x14ac:dyDescent="0.25">
      <c r="A20" s="499"/>
      <c r="B20" s="500"/>
      <c r="C20" s="501"/>
      <c r="D20" s="502"/>
      <c r="E20" s="502">
        <f t="shared" si="0"/>
        <v>39312.93</v>
      </c>
      <c r="F20" s="503"/>
      <c r="G20" s="503">
        <f t="shared" si="1"/>
        <v>39312.93</v>
      </c>
      <c r="H20" s="503">
        <f t="shared" si="2"/>
        <v>2.9558577807620168E-12</v>
      </c>
      <c r="I20" s="503"/>
    </row>
    <row r="21" spans="1:9" s="330" customFormat="1" ht="12.75" customHeight="1" x14ac:dyDescent="0.25">
      <c r="A21" s="499"/>
      <c r="B21" s="500"/>
      <c r="C21" s="514"/>
      <c r="D21" s="502"/>
      <c r="E21" s="502">
        <f t="shared" si="0"/>
        <v>39312.93</v>
      </c>
      <c r="F21" s="503"/>
      <c r="G21" s="503">
        <f t="shared" si="1"/>
        <v>39312.93</v>
      </c>
      <c r="H21" s="503">
        <f t="shared" si="2"/>
        <v>2.9558577807620168E-12</v>
      </c>
      <c r="I21" s="503"/>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54</v>
      </c>
      <c r="D23" s="405">
        <f>SUM(D9:D22)</f>
        <v>39312.93</v>
      </c>
      <c r="E23" s="405"/>
      <c r="F23" s="405">
        <f>SUM(F9:F22)</f>
        <v>39312.93</v>
      </c>
      <c r="G23" s="405"/>
      <c r="H23" s="405">
        <f>D23-F23</f>
        <v>0</v>
      </c>
      <c r="I23" s="533" t="s">
        <v>169</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192</v>
      </c>
      <c r="D26" s="503">
        <f>35589.48-115.55</f>
        <v>35473.93</v>
      </c>
      <c r="E26" s="503"/>
      <c r="F26" s="503">
        <f>7688.48+10045.27+7194.5+4350.3+6195.38</f>
        <v>35473.93</v>
      </c>
      <c r="G26" s="503"/>
      <c r="H26" s="503">
        <f>D26-F26</f>
        <v>0</v>
      </c>
      <c r="I26" s="504"/>
    </row>
    <row r="27" spans="1:9" s="330" customFormat="1" ht="12.75" customHeight="1" x14ac:dyDescent="0.25">
      <c r="A27" s="499"/>
      <c r="B27" s="501"/>
      <c r="C27" s="515" t="s">
        <v>781</v>
      </c>
      <c r="D27" s="503">
        <f>4000-206</f>
        <v>3794</v>
      </c>
      <c r="E27" s="503"/>
      <c r="F27" s="503">
        <f>2900+447+447</f>
        <v>3794</v>
      </c>
      <c r="G27" s="503"/>
      <c r="H27" s="503">
        <f>D27-F27</f>
        <v>0</v>
      </c>
      <c r="I27" s="504"/>
    </row>
    <row r="28" spans="1:9" s="330" customFormat="1" ht="12.75" customHeight="1" x14ac:dyDescent="0.25">
      <c r="A28" s="499"/>
      <c r="B28" s="501"/>
      <c r="C28" s="515" t="s">
        <v>784</v>
      </c>
      <c r="D28" s="503">
        <f>300-255</f>
        <v>45</v>
      </c>
      <c r="E28" s="503"/>
      <c r="F28" s="503">
        <f>45</f>
        <v>45</v>
      </c>
      <c r="G28" s="503"/>
      <c r="H28" s="503">
        <f>D28-F28</f>
        <v>0</v>
      </c>
      <c r="I28" s="504"/>
    </row>
    <row r="29" spans="1:9" s="330" customFormat="1" ht="12.75" customHeight="1" thickBot="1" x14ac:dyDescent="0.3">
      <c r="A29" s="499"/>
      <c r="B29" s="501"/>
      <c r="C29" s="519" t="s">
        <v>555</v>
      </c>
      <c r="D29" s="405">
        <f>SUM(D26:D28)</f>
        <v>39312.93</v>
      </c>
      <c r="E29" s="519"/>
      <c r="F29" s="405">
        <f>SUM(F26:F28)</f>
        <v>39312.93</v>
      </c>
      <c r="G29" s="519"/>
      <c r="H29" s="405">
        <f>SUM(H26:H28)</f>
        <v>0</v>
      </c>
      <c r="I29" s="519"/>
    </row>
    <row r="30" spans="1:9" s="330" customFormat="1" ht="12.75" customHeight="1" thickTop="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9">
    <tabColor rgb="FF0070C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9" width="12.7109375" customWidth="1"/>
  </cols>
  <sheetData>
    <row r="1" spans="1:9" ht="15.75" x14ac:dyDescent="0.25">
      <c r="A1" s="109" t="str">
        <f>'RECAP #9424.00'!B1</f>
        <v>HHS STS Main Electrical Loop Revisions</v>
      </c>
      <c r="B1" s="109"/>
      <c r="C1" s="179"/>
      <c r="D1" s="179"/>
      <c r="E1" s="179"/>
      <c r="F1" s="180"/>
      <c r="G1" s="180"/>
      <c r="H1" s="181"/>
      <c r="I1" s="181"/>
    </row>
    <row r="2" spans="1:9" ht="15.75" x14ac:dyDescent="0.25">
      <c r="A2" s="126" t="str">
        <f>'RECAP #9424.00'!B2</f>
        <v>Project # 9424.00</v>
      </c>
      <c r="B2" s="182"/>
      <c r="C2" s="179"/>
      <c r="D2" s="179"/>
      <c r="E2" s="179"/>
      <c r="F2" s="180"/>
      <c r="G2" s="180"/>
      <c r="H2" s="181"/>
      <c r="I2" s="181"/>
    </row>
    <row r="3" spans="1:9" ht="15.75" x14ac:dyDescent="0.25">
      <c r="A3" s="183" t="str">
        <f>'RECAP #9424.00'!B3</f>
        <v>Program code 942400</v>
      </c>
      <c r="B3" s="182"/>
      <c r="C3" s="179"/>
      <c r="D3" s="184" t="str">
        <f>'RECAP #9424.00'!E3</f>
        <v>Major Program 4E02</v>
      </c>
      <c r="E3" s="179"/>
      <c r="F3" s="180"/>
      <c r="G3" s="180"/>
      <c r="H3" s="181"/>
      <c r="I3" s="181"/>
    </row>
    <row r="4" spans="1:9" ht="15.75" x14ac:dyDescent="0.25">
      <c r="A4" s="109" t="s">
        <v>262</v>
      </c>
      <c r="B4" s="126"/>
      <c r="C4" s="181"/>
      <c r="D4" s="185" t="s">
        <v>265</v>
      </c>
      <c r="E4" s="180"/>
      <c r="F4" s="180"/>
      <c r="G4" s="180"/>
      <c r="H4" s="181"/>
      <c r="I4" s="181"/>
    </row>
    <row r="5" spans="1:9" ht="15.75" x14ac:dyDescent="0.25">
      <c r="A5" s="186" t="s">
        <v>109</v>
      </c>
      <c r="B5" s="181"/>
      <c r="C5" s="187"/>
      <c r="D5" s="176" t="s">
        <v>263</v>
      </c>
      <c r="E5" s="137"/>
      <c r="F5" s="180"/>
      <c r="G5" s="180"/>
      <c r="H5" s="181"/>
      <c r="I5" s="181"/>
    </row>
    <row r="6" spans="1:9" ht="15.75" x14ac:dyDescent="0.25">
      <c r="A6" s="126" t="str">
        <f>'RECAP #9424.00'!B6</f>
        <v>Project Manager - Jennifer K.</v>
      </c>
      <c r="B6" s="126"/>
      <c r="C6" s="188"/>
      <c r="D6" s="189" t="s">
        <v>112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335" t="s">
        <v>261</v>
      </c>
    </row>
    <row r="9" spans="1:9" x14ac:dyDescent="0.25">
      <c r="A9" s="195" t="s">
        <v>264</v>
      </c>
      <c r="B9" s="196">
        <v>45569</v>
      </c>
      <c r="C9" s="197" t="s">
        <v>107</v>
      </c>
      <c r="D9" s="198">
        <v>75750</v>
      </c>
      <c r="E9" s="199">
        <f>D9</f>
        <v>75750</v>
      </c>
      <c r="F9" s="200"/>
      <c r="G9" s="200"/>
      <c r="H9" s="200">
        <f>E9</f>
        <v>75750</v>
      </c>
      <c r="I9" s="137"/>
    </row>
    <row r="10" spans="1:9" x14ac:dyDescent="0.25">
      <c r="A10" s="195" t="s">
        <v>264</v>
      </c>
      <c r="B10" s="201">
        <v>45645</v>
      </c>
      <c r="C10" s="197" t="s">
        <v>301</v>
      </c>
      <c r="D10" s="198">
        <v>4872</v>
      </c>
      <c r="E10" s="199">
        <f t="shared" ref="E10:E21" si="0">E9+D10</f>
        <v>80622</v>
      </c>
      <c r="F10" s="203"/>
      <c r="G10" s="200">
        <f t="shared" ref="G10:G21" si="1">G9+F10</f>
        <v>0</v>
      </c>
      <c r="H10" s="200">
        <f t="shared" ref="H10:H21" si="2">H9-F10+D10</f>
        <v>80622</v>
      </c>
      <c r="I10" s="137"/>
    </row>
    <row r="11" spans="1:9" x14ac:dyDescent="0.25">
      <c r="A11" s="195" t="s">
        <v>375</v>
      </c>
      <c r="B11" s="196">
        <v>45660</v>
      </c>
      <c r="C11" s="197" t="s">
        <v>376</v>
      </c>
      <c r="D11" s="199"/>
      <c r="E11" s="199">
        <f t="shared" si="0"/>
        <v>80622</v>
      </c>
      <c r="F11" s="203">
        <v>71850.399999999994</v>
      </c>
      <c r="G11" s="200">
        <f t="shared" si="1"/>
        <v>71850.399999999994</v>
      </c>
      <c r="H11" s="200">
        <f t="shared" si="2"/>
        <v>8771.6000000000058</v>
      </c>
      <c r="I11" s="203">
        <v>3781.6</v>
      </c>
    </row>
    <row r="12" spans="1:9" x14ac:dyDescent="0.25">
      <c r="A12" s="195" t="s">
        <v>844</v>
      </c>
      <c r="B12" s="196">
        <v>45820</v>
      </c>
      <c r="C12" s="197" t="s">
        <v>845</v>
      </c>
      <c r="D12" s="199"/>
      <c r="E12" s="199">
        <f t="shared" si="0"/>
        <v>80622</v>
      </c>
      <c r="F12" s="203">
        <v>4740.5</v>
      </c>
      <c r="G12" s="200">
        <f t="shared" si="1"/>
        <v>76590.899999999994</v>
      </c>
      <c r="H12" s="200">
        <f t="shared" si="2"/>
        <v>4031.1000000000058</v>
      </c>
      <c r="I12" s="203">
        <f>I11+249.5</f>
        <v>4031.1</v>
      </c>
    </row>
    <row r="13" spans="1:9" x14ac:dyDescent="0.25">
      <c r="A13" s="195" t="s">
        <v>853</v>
      </c>
      <c r="B13" s="196">
        <v>45826</v>
      </c>
      <c r="C13" s="197" t="s">
        <v>854</v>
      </c>
      <c r="D13" s="199"/>
      <c r="E13" s="199">
        <f t="shared" si="0"/>
        <v>80622</v>
      </c>
      <c r="F13" s="203">
        <v>4031.1</v>
      </c>
      <c r="G13" s="200">
        <f t="shared" si="1"/>
        <v>80622</v>
      </c>
      <c r="H13" s="200">
        <f t="shared" si="2"/>
        <v>5.9117155615240335E-12</v>
      </c>
      <c r="I13" s="137"/>
    </row>
    <row r="14" spans="1:9" x14ac:dyDescent="0.25">
      <c r="A14" s="195"/>
      <c r="B14" s="196"/>
      <c r="C14" s="197"/>
      <c r="D14" s="199"/>
      <c r="E14" s="199">
        <f t="shared" si="0"/>
        <v>80622</v>
      </c>
      <c r="F14" s="200"/>
      <c r="G14" s="200">
        <f t="shared" si="1"/>
        <v>80622</v>
      </c>
      <c r="H14" s="200">
        <f t="shared" si="2"/>
        <v>5.9117155615240335E-12</v>
      </c>
      <c r="I14" s="137"/>
    </row>
    <row r="15" spans="1:9" x14ac:dyDescent="0.25">
      <c r="A15" s="195"/>
      <c r="B15" s="196"/>
      <c r="C15" s="197"/>
      <c r="D15" s="199"/>
      <c r="E15" s="199">
        <f t="shared" si="0"/>
        <v>80622</v>
      </c>
      <c r="F15" s="203"/>
      <c r="G15" s="200">
        <f t="shared" si="1"/>
        <v>80622</v>
      </c>
      <c r="H15" s="200">
        <f t="shared" si="2"/>
        <v>5.9117155615240335E-12</v>
      </c>
      <c r="I15" s="137"/>
    </row>
    <row r="16" spans="1:9" x14ac:dyDescent="0.25">
      <c r="A16" s="195"/>
      <c r="B16" s="196"/>
      <c r="C16" s="197"/>
      <c r="D16" s="199"/>
      <c r="E16" s="199">
        <f t="shared" si="0"/>
        <v>80622</v>
      </c>
      <c r="F16" s="203"/>
      <c r="G16" s="200">
        <f t="shared" si="1"/>
        <v>80622</v>
      </c>
      <c r="H16" s="200">
        <f t="shared" si="2"/>
        <v>5.9117155615240335E-12</v>
      </c>
      <c r="I16" s="137"/>
    </row>
    <row r="17" spans="1:9" x14ac:dyDescent="0.25">
      <c r="A17" s="195"/>
      <c r="B17" s="196"/>
      <c r="C17" s="197"/>
      <c r="D17" s="199"/>
      <c r="E17" s="199">
        <f t="shared" si="0"/>
        <v>80622</v>
      </c>
      <c r="F17" s="203"/>
      <c r="G17" s="200">
        <f t="shared" si="1"/>
        <v>80622</v>
      </c>
      <c r="H17" s="200">
        <f t="shared" si="2"/>
        <v>5.9117155615240335E-12</v>
      </c>
      <c r="I17" s="137"/>
    </row>
    <row r="18" spans="1:9" x14ac:dyDescent="0.25">
      <c r="A18" s="195"/>
      <c r="B18" s="196"/>
      <c r="C18" s="197"/>
      <c r="D18" s="199"/>
      <c r="E18" s="199">
        <f t="shared" si="0"/>
        <v>80622</v>
      </c>
      <c r="F18" s="203"/>
      <c r="G18" s="200">
        <f t="shared" si="1"/>
        <v>80622</v>
      </c>
      <c r="H18" s="200">
        <f t="shared" si="2"/>
        <v>5.9117155615240335E-12</v>
      </c>
      <c r="I18" s="137"/>
    </row>
    <row r="19" spans="1:9" x14ac:dyDescent="0.25">
      <c r="A19" s="195"/>
      <c r="B19" s="196"/>
      <c r="C19" s="197"/>
      <c r="D19" s="199"/>
      <c r="E19" s="199">
        <f t="shared" si="0"/>
        <v>80622</v>
      </c>
      <c r="F19" s="200"/>
      <c r="G19" s="200">
        <f t="shared" si="1"/>
        <v>80622</v>
      </c>
      <c r="H19" s="200">
        <f t="shared" si="2"/>
        <v>5.9117155615240335E-12</v>
      </c>
      <c r="I19" s="137"/>
    </row>
    <row r="20" spans="1:9" x14ac:dyDescent="0.25">
      <c r="A20" s="195"/>
      <c r="B20" s="196"/>
      <c r="C20" s="197"/>
      <c r="D20" s="199"/>
      <c r="E20" s="199">
        <f t="shared" si="0"/>
        <v>80622</v>
      </c>
      <c r="F20" s="200"/>
      <c r="G20" s="200">
        <f t="shared" si="1"/>
        <v>80622</v>
      </c>
      <c r="H20" s="200">
        <f t="shared" si="2"/>
        <v>5.9117155615240335E-12</v>
      </c>
      <c r="I20" s="137"/>
    </row>
    <row r="21" spans="1:9" x14ac:dyDescent="0.25">
      <c r="A21" s="195"/>
      <c r="B21" s="196"/>
      <c r="C21" s="204"/>
      <c r="D21" s="199"/>
      <c r="E21" s="199">
        <f t="shared" si="0"/>
        <v>80622</v>
      </c>
      <c r="F21" s="200"/>
      <c r="G21" s="200">
        <f t="shared" si="1"/>
        <v>80622</v>
      </c>
      <c r="H21" s="200">
        <f t="shared" si="2"/>
        <v>5.9117155615240335E-12</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80622</v>
      </c>
      <c r="E23" s="208"/>
      <c r="F23" s="208">
        <f>SUM(F9:F22)</f>
        <v>80622</v>
      </c>
      <c r="G23" s="208"/>
      <c r="H23" s="208">
        <f>D23-F23</f>
        <v>0</v>
      </c>
      <c r="I23" s="132"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0">
    <tabColor rgb="FF0070C0"/>
    <pageSetUpPr fitToPage="1"/>
  </sheetPr>
  <dimension ref="A1:G20"/>
  <sheetViews>
    <sheetView tabSelected="1" topLeftCell="A13" zoomScaleNormal="100" workbookViewId="0">
      <selection activeCell="C38" sqref="C3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286</v>
      </c>
      <c r="C1" s="109"/>
      <c r="D1" s="179"/>
      <c r="E1" s="179"/>
      <c r="F1" s="179"/>
      <c r="G1" s="179"/>
    </row>
    <row r="2" spans="1:7" ht="15.75" x14ac:dyDescent="0.25">
      <c r="A2" s="212"/>
      <c r="B2" s="126" t="s">
        <v>287</v>
      </c>
      <c r="C2" s="182"/>
      <c r="D2" s="179"/>
      <c r="E2" s="179"/>
      <c r="F2" s="179"/>
      <c r="G2" s="179"/>
    </row>
    <row r="3" spans="1:7" ht="15.75" x14ac:dyDescent="0.25">
      <c r="A3" s="212"/>
      <c r="B3" s="183" t="s">
        <v>288</v>
      </c>
      <c r="C3" s="182"/>
      <c r="D3" s="179"/>
      <c r="E3" s="184" t="s">
        <v>78</v>
      </c>
      <c r="F3" s="179"/>
      <c r="G3" s="179"/>
    </row>
    <row r="4" spans="1:7" ht="15.75" x14ac:dyDescent="0.25">
      <c r="A4" s="212"/>
      <c r="B4" s="180" t="s">
        <v>36</v>
      </c>
      <c r="C4" s="249" t="s">
        <v>3</v>
      </c>
      <c r="D4" s="179"/>
      <c r="E4" s="179"/>
      <c r="F4" s="179"/>
      <c r="G4" s="179"/>
    </row>
    <row r="5" spans="1:7" ht="15.75" x14ac:dyDescent="0.25">
      <c r="A5" s="212"/>
      <c r="B5" s="126" t="s">
        <v>64</v>
      </c>
      <c r="C5" s="182"/>
      <c r="D5" s="179"/>
      <c r="E5" s="179"/>
      <c r="F5" s="179"/>
      <c r="G5" s="179"/>
    </row>
    <row r="6" spans="1:7" ht="15.75" x14ac:dyDescent="0.25">
      <c r="A6" s="212"/>
      <c r="B6" s="126" t="s">
        <v>70</v>
      </c>
      <c r="C6" s="250"/>
      <c r="D6" s="251" t="s">
        <v>3</v>
      </c>
      <c r="E6" s="179"/>
      <c r="F6" s="179"/>
      <c r="G6" s="179"/>
    </row>
    <row r="7" spans="1:7" ht="26.85" customHeight="1" thickBot="1" x14ac:dyDescent="0.3">
      <c r="A7" s="212"/>
      <c r="B7" s="252" t="s">
        <v>3</v>
      </c>
      <c r="C7" s="253" t="s">
        <v>0</v>
      </c>
      <c r="D7" s="254" t="s">
        <v>1</v>
      </c>
      <c r="E7" s="255" t="s">
        <v>2</v>
      </c>
      <c r="F7" s="256" t="s">
        <v>37</v>
      </c>
      <c r="G7" s="256" t="s">
        <v>38</v>
      </c>
    </row>
    <row r="8" spans="1:7" ht="28.35" customHeight="1" x14ac:dyDescent="0.25">
      <c r="A8" s="212"/>
      <c r="B8" s="182" t="s">
        <v>39</v>
      </c>
      <c r="C8" s="257">
        <f>'#9425.01 Funds Recv''d '!H24</f>
        <v>120684.88</v>
      </c>
      <c r="D8" s="258"/>
      <c r="E8" s="258"/>
      <c r="F8" s="258"/>
      <c r="G8" s="259"/>
    </row>
    <row r="9" spans="1:7" x14ac:dyDescent="0.25">
      <c r="A9" s="212"/>
      <c r="B9" s="182"/>
      <c r="C9" s="260"/>
      <c r="D9" s="261"/>
      <c r="E9" s="261"/>
      <c r="F9" s="261"/>
      <c r="G9" s="259"/>
    </row>
    <row r="10" spans="1:7" x14ac:dyDescent="0.25">
      <c r="A10" s="212" t="s">
        <v>170</v>
      </c>
      <c r="B10" s="182" t="s">
        <v>113</v>
      </c>
      <c r="C10" s="260"/>
      <c r="D10" s="258">
        <f>'#9425.01 McGough Construction'!D23</f>
        <v>9134.23</v>
      </c>
      <c r="E10" s="258">
        <f>'#9425.01 McGough Construction'!F23</f>
        <v>9134.23</v>
      </c>
      <c r="F10" s="258">
        <f>'#9425.01 McGough Construction'!H23</f>
        <v>0</v>
      </c>
      <c r="G10" s="259"/>
    </row>
    <row r="11" spans="1:7" x14ac:dyDescent="0.25">
      <c r="A11" s="212" t="s">
        <v>170</v>
      </c>
      <c r="B11" s="182" t="s">
        <v>41</v>
      </c>
      <c r="C11" s="260"/>
      <c r="D11" s="258">
        <f>'#9425.01 PM TIME '!E30</f>
        <v>7487.86</v>
      </c>
      <c r="E11" s="258">
        <f>'#9425.01 PM TIME '!G30</f>
        <v>7487.86</v>
      </c>
      <c r="F11" s="258">
        <f>'#9425.01 PM TIME '!I30</f>
        <v>0</v>
      </c>
      <c r="G11" s="259"/>
    </row>
    <row r="12" spans="1:7" x14ac:dyDescent="0.25">
      <c r="A12" s="212" t="s">
        <v>170</v>
      </c>
      <c r="B12" s="182" t="s">
        <v>42</v>
      </c>
      <c r="C12" s="261"/>
      <c r="D12" s="262">
        <f>'#9425.01 Misc '!G22</f>
        <v>200</v>
      </c>
      <c r="E12" s="262">
        <f>'#9425.01 Misc '!G22</f>
        <v>200</v>
      </c>
      <c r="F12" s="258">
        <f>D12-E12</f>
        <v>0</v>
      </c>
      <c r="G12" s="259"/>
    </row>
    <row r="13" spans="1:7" x14ac:dyDescent="0.25">
      <c r="A13" s="212" t="s">
        <v>170</v>
      </c>
      <c r="B13" s="182" t="s">
        <v>216</v>
      </c>
      <c r="C13" s="261"/>
      <c r="D13" s="262">
        <f>'#9425.01 ATC Group'!D23</f>
        <v>12326.25</v>
      </c>
      <c r="E13" s="262">
        <f>'#9425.01 ATC Group'!F23</f>
        <v>12326.25</v>
      </c>
      <c r="F13" s="258">
        <f>'#9425.01 ATC Group'!H23</f>
        <v>0</v>
      </c>
      <c r="G13" s="259"/>
    </row>
    <row r="14" spans="1:7" x14ac:dyDescent="0.25">
      <c r="A14" s="212" t="s">
        <v>170</v>
      </c>
      <c r="B14" s="182" t="s">
        <v>549</v>
      </c>
      <c r="C14" s="261"/>
      <c r="D14" s="262">
        <f>'#9425.01 JamcoAbatement Service'!D23</f>
        <v>73730</v>
      </c>
      <c r="E14" s="262">
        <f>'#9425.01 JamcoAbatement Service'!F23</f>
        <v>73730</v>
      </c>
      <c r="F14" s="258">
        <f>'#9425.01 JamcoAbatement Service'!H23</f>
        <v>0</v>
      </c>
      <c r="G14" s="259"/>
    </row>
    <row r="15" spans="1:7" x14ac:dyDescent="0.25">
      <c r="A15" s="212" t="s">
        <v>170</v>
      </c>
      <c r="B15" s="182" t="s">
        <v>571</v>
      </c>
      <c r="C15" s="261"/>
      <c r="D15" s="262">
        <f>'#9425.01 McGough Constructi (2)'!D23</f>
        <v>17806.539999999997</v>
      </c>
      <c r="E15" s="262">
        <f>'#9425.01 McGough Constructi (2)'!F23</f>
        <v>17806.54</v>
      </c>
      <c r="F15" s="258">
        <f>'#9425.01 McGough Constructi (2)'!H23</f>
        <v>0</v>
      </c>
      <c r="G15" s="259"/>
    </row>
    <row r="16" spans="1:7" ht="13.35" customHeight="1" x14ac:dyDescent="0.25">
      <c r="A16" s="212"/>
      <c r="B16" s="182"/>
      <c r="C16" s="261"/>
      <c r="D16" s="262"/>
      <c r="E16" s="262"/>
      <c r="F16" s="258"/>
      <c r="G16" s="259"/>
    </row>
    <row r="17" spans="1:7" ht="24" customHeight="1" thickBot="1" x14ac:dyDescent="0.3">
      <c r="A17" s="263"/>
      <c r="B17" s="264" t="s">
        <v>43</v>
      </c>
      <c r="C17" s="265">
        <f>SUM(C8:C16)</f>
        <v>120684.88</v>
      </c>
      <c r="D17" s="265">
        <f>SUM(D8:D16)</f>
        <v>120684.87999999999</v>
      </c>
      <c r="E17" s="265">
        <f>SUM(E8:E16)</f>
        <v>120684.88</v>
      </c>
      <c r="F17" s="379">
        <f>SUM(D17-E17)</f>
        <v>-1.4551915228366852E-11</v>
      </c>
      <c r="G17" s="265">
        <f>C17-D17</f>
        <v>0</v>
      </c>
    </row>
    <row r="18" spans="1:7" ht="13.35" customHeight="1" thickTop="1" x14ac:dyDescent="0.25">
      <c r="A18" s="212"/>
      <c r="B18" s="182"/>
      <c r="C18" s="182"/>
      <c r="D18" s="259"/>
      <c r="E18" s="259"/>
      <c r="F18" s="259"/>
      <c r="G18" s="259"/>
    </row>
    <row r="19" spans="1:7" ht="13.35" customHeight="1" x14ac:dyDescent="0.25">
      <c r="A19" s="212"/>
      <c r="B19" s="182"/>
      <c r="C19" s="182"/>
      <c r="D19" s="259"/>
      <c r="E19" s="259"/>
      <c r="F19" s="259"/>
      <c r="G19" s="259"/>
    </row>
    <row r="20" spans="1:7" ht="13.35" customHeight="1" x14ac:dyDescent="0.25">
      <c r="A20" s="212"/>
      <c r="B20" s="212" t="s">
        <v>994</v>
      </c>
      <c r="C20" s="182"/>
      <c r="D20" s="259"/>
      <c r="E20" s="259"/>
      <c r="F20" s="259"/>
      <c r="G20"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1">
    <tabColor rgb="FF0070C0"/>
    <pageSetUpPr fitToPage="1"/>
  </sheetPr>
  <dimension ref="A1:H25"/>
  <sheetViews>
    <sheetView tabSelected="1" zoomScaleNormal="100" workbookViewId="0">
      <selection activeCell="C38" sqref="C38"/>
    </sheetView>
  </sheetViews>
  <sheetFormatPr defaultColWidth="9.140625" defaultRowHeight="15" customHeight="1" x14ac:dyDescent="0.25"/>
  <cols>
    <col min="1" max="1" width="15.5703125" customWidth="1"/>
    <col min="2" max="2" width="20.5703125" customWidth="1"/>
    <col min="3" max="3" width="12.42578125" bestFit="1" customWidth="1"/>
    <col min="4" max="4" width="33.140625" customWidth="1"/>
    <col min="5" max="5" width="25.42578125" customWidth="1"/>
    <col min="6" max="6" width="10.42578125" bestFit="1" customWidth="1"/>
    <col min="7" max="8" width="12.42578125" bestFit="1" customWidth="1"/>
    <col min="9" max="11" width="9.140625" customWidth="1"/>
  </cols>
  <sheetData>
    <row r="1" spans="1:8" x14ac:dyDescent="0.25">
      <c r="A1" s="267" t="str">
        <f>'RECAP #9425.01'!B1</f>
        <v>HHS STS North Buildings HazMat Survey</v>
      </c>
      <c r="B1" s="268"/>
      <c r="C1" s="269"/>
      <c r="D1" s="270"/>
      <c r="E1" s="270"/>
      <c r="F1" s="268"/>
      <c r="G1" s="268"/>
      <c r="H1" s="268"/>
    </row>
    <row r="2" spans="1:8" x14ac:dyDescent="0.25">
      <c r="A2" s="271" t="str">
        <f>'RECAP #9425.01'!B2</f>
        <v>Project # 9425.01</v>
      </c>
      <c r="B2" s="268"/>
      <c r="C2" s="272" t="s">
        <v>3</v>
      </c>
      <c r="D2" s="273"/>
      <c r="E2" s="273"/>
      <c r="F2" s="268"/>
      <c r="G2" s="268"/>
      <c r="H2" s="268"/>
    </row>
    <row r="3" spans="1:8" x14ac:dyDescent="0.25">
      <c r="A3" s="274" t="str">
        <f>'RECAP #9425.01'!B3</f>
        <v>Program code 942501</v>
      </c>
      <c r="B3" s="268"/>
      <c r="C3" s="272" t="s">
        <v>3</v>
      </c>
      <c r="D3" s="275" t="str">
        <f>'RECAP #9425.01'!E3</f>
        <v>Major Program 4E02</v>
      </c>
      <c r="E3" s="270"/>
      <c r="F3" s="268"/>
      <c r="G3" s="268"/>
      <c r="H3" s="268"/>
    </row>
    <row r="4" spans="1:8" ht="15.75" x14ac:dyDescent="0.25">
      <c r="A4" s="109" t="s">
        <v>44</v>
      </c>
      <c r="B4" s="276" t="s">
        <v>3</v>
      </c>
      <c r="C4" s="270"/>
      <c r="D4" s="270"/>
      <c r="E4" s="270"/>
      <c r="F4" s="268"/>
      <c r="G4" s="268"/>
      <c r="H4" s="268"/>
    </row>
    <row r="5" spans="1:8" x14ac:dyDescent="0.25">
      <c r="A5" s="263" t="s">
        <v>443</v>
      </c>
      <c r="B5" s="277"/>
      <c r="C5" s="278"/>
      <c r="D5" s="279"/>
      <c r="E5" s="268"/>
      <c r="F5" s="268"/>
      <c r="G5" s="268"/>
      <c r="H5" s="268"/>
    </row>
    <row r="6" spans="1:8" x14ac:dyDescent="0.25">
      <c r="A6" s="280" t="str">
        <f>'RECAP #9425.01'!B6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45</v>
      </c>
      <c r="C8" s="288" t="s">
        <v>5</v>
      </c>
      <c r="D8" s="286" t="s">
        <v>6</v>
      </c>
      <c r="E8" s="287" t="s">
        <v>46</v>
      </c>
      <c r="F8" s="289" t="s">
        <v>7</v>
      </c>
      <c r="G8" s="288" t="s">
        <v>5</v>
      </c>
      <c r="H8" s="290" t="s">
        <v>8</v>
      </c>
    </row>
    <row r="9" spans="1:8" x14ac:dyDescent="0.25">
      <c r="A9" s="291"/>
      <c r="B9" s="292"/>
      <c r="C9" s="293"/>
      <c r="D9" s="294" t="s">
        <v>73</v>
      </c>
      <c r="E9" s="294" t="s">
        <v>292</v>
      </c>
      <c r="F9" s="295">
        <v>45587</v>
      </c>
      <c r="G9" s="340">
        <v>650000</v>
      </c>
      <c r="H9" s="340">
        <v>650000</v>
      </c>
    </row>
    <row r="10" spans="1:8" x14ac:dyDescent="0.25">
      <c r="A10" s="291"/>
      <c r="B10" s="291"/>
      <c r="C10" s="298"/>
      <c r="D10" s="354" t="s">
        <v>448</v>
      </c>
      <c r="E10" s="291" t="s">
        <v>564</v>
      </c>
      <c r="F10" s="291">
        <v>45727</v>
      </c>
      <c r="G10" s="380">
        <v>-480000</v>
      </c>
      <c r="H10" s="380">
        <v>-480000</v>
      </c>
    </row>
    <row r="11" spans="1:8" x14ac:dyDescent="0.25">
      <c r="A11" s="300"/>
      <c r="B11" s="298"/>
      <c r="C11" s="301"/>
      <c r="D11" s="354" t="s">
        <v>448</v>
      </c>
      <c r="E11" s="291" t="s">
        <v>787</v>
      </c>
      <c r="F11" s="291">
        <v>45805</v>
      </c>
      <c r="G11" s="380">
        <v>-32000</v>
      </c>
      <c r="H11" s="380">
        <v>-32000</v>
      </c>
    </row>
    <row r="12" spans="1:8" ht="15" customHeight="1" x14ac:dyDescent="0.25">
      <c r="A12" s="300"/>
      <c r="B12" s="298"/>
      <c r="C12" s="303"/>
      <c r="D12" s="354" t="s">
        <v>992</v>
      </c>
      <c r="E12" s="291" t="s">
        <v>993</v>
      </c>
      <c r="F12" s="291">
        <v>45874</v>
      </c>
      <c r="G12" s="380">
        <v>-17315.12</v>
      </c>
      <c r="H12" s="380">
        <v>-17315.12</v>
      </c>
    </row>
    <row r="13" spans="1:8" x14ac:dyDescent="0.25">
      <c r="A13" s="201"/>
      <c r="B13" s="304"/>
      <c r="C13" s="303"/>
      <c r="D13" s="294"/>
      <c r="E13" s="282"/>
      <c r="F13" s="291"/>
      <c r="G13" s="305"/>
      <c r="H13" s="341"/>
    </row>
    <row r="14" spans="1:8" x14ac:dyDescent="0.25">
      <c r="A14" s="300"/>
      <c r="B14" s="277"/>
      <c r="C14" s="303"/>
      <c r="D14" s="298"/>
      <c r="E14" s="277"/>
      <c r="F14" s="291"/>
      <c r="G14" s="302"/>
      <c r="H14" s="341"/>
    </row>
    <row r="15" spans="1:8" x14ac:dyDescent="0.25">
      <c r="A15" s="300"/>
      <c r="B15" s="277"/>
      <c r="C15" s="278"/>
      <c r="D15" s="279"/>
      <c r="E15" s="304"/>
      <c r="F15" s="306"/>
      <c r="G15" s="296"/>
      <c r="H15" s="296"/>
    </row>
    <row r="16" spans="1:8" x14ac:dyDescent="0.25">
      <c r="A16" s="300"/>
      <c r="B16" s="277"/>
      <c r="C16" s="278" t="s">
        <v>3</v>
      </c>
      <c r="D16" s="279"/>
      <c r="E16" s="277"/>
      <c r="F16" s="306"/>
      <c r="G16" s="296"/>
      <c r="H16" s="296"/>
    </row>
    <row r="17" spans="1:8" x14ac:dyDescent="0.25">
      <c r="A17" s="300"/>
      <c r="B17" s="277"/>
      <c r="C17" s="278"/>
      <c r="D17" s="279"/>
      <c r="E17" s="277"/>
      <c r="F17" s="306"/>
      <c r="G17" s="307"/>
      <c r="H17" s="278"/>
    </row>
    <row r="18" spans="1:8" x14ac:dyDescent="0.25">
      <c r="A18" s="300"/>
      <c r="B18" s="266"/>
      <c r="C18" s="278"/>
      <c r="D18" s="279"/>
      <c r="E18" s="277"/>
      <c r="F18" s="306"/>
      <c r="G18" s="296"/>
      <c r="H18" s="296"/>
    </row>
    <row r="19" spans="1:8" x14ac:dyDescent="0.25">
      <c r="A19" s="300"/>
      <c r="B19" s="277"/>
      <c r="C19" s="278"/>
      <c r="D19" s="279"/>
      <c r="E19" s="277"/>
      <c r="F19" s="306"/>
      <c r="G19" s="296"/>
      <c r="H19" s="296"/>
    </row>
    <row r="20" spans="1:8" x14ac:dyDescent="0.25">
      <c r="A20" s="300"/>
      <c r="B20" s="277"/>
      <c r="C20" s="278"/>
      <c r="D20" s="279"/>
      <c r="E20" s="277"/>
      <c r="F20" s="306"/>
      <c r="G20" s="307"/>
      <c r="H20" s="278"/>
    </row>
    <row r="21" spans="1:8" x14ac:dyDescent="0.25">
      <c r="A21" s="300"/>
      <c r="B21" s="277"/>
      <c r="C21" s="278"/>
      <c r="D21" s="279"/>
      <c r="E21" s="277"/>
      <c r="F21" s="306"/>
      <c r="G21" s="307"/>
      <c r="H21" s="278"/>
    </row>
    <row r="22" spans="1:8" x14ac:dyDescent="0.25">
      <c r="A22" s="300"/>
      <c r="B22" s="277"/>
      <c r="C22" s="278"/>
      <c r="D22" s="279"/>
      <c r="E22" s="277"/>
      <c r="F22" s="300"/>
      <c r="G22" s="296"/>
      <c r="H22" s="296"/>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120684.88</v>
      </c>
      <c r="H24" s="208">
        <f>SUM(H9:H23)</f>
        <v>120684.88</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2">
    <tabColor rgb="FF0070C0"/>
    <pageSetUpPr fitToPage="1"/>
  </sheetPr>
  <dimension ref="A1:I29"/>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09" t="str">
        <f>'RECAP #9425.01'!B1</f>
        <v>HHS STS North Buildings HazMat Survey</v>
      </c>
      <c r="B1" s="109"/>
      <c r="C1" s="179"/>
      <c r="D1" s="179"/>
      <c r="E1" s="179"/>
      <c r="F1" s="180"/>
      <c r="G1" s="180"/>
      <c r="H1" s="181"/>
      <c r="I1" s="181"/>
    </row>
    <row r="2" spans="1:9" ht="15.75" x14ac:dyDescent="0.25">
      <c r="A2" s="126" t="str">
        <f>'RECAP #9425.01'!B2</f>
        <v>Project # 9425.01</v>
      </c>
      <c r="B2" s="182"/>
      <c r="C2" s="179"/>
      <c r="D2" s="179"/>
      <c r="E2" s="179"/>
      <c r="F2" s="180"/>
      <c r="G2" s="180"/>
      <c r="H2" s="181"/>
      <c r="I2" s="181"/>
    </row>
    <row r="3" spans="1:9" ht="15.75" x14ac:dyDescent="0.25">
      <c r="A3" s="183" t="str">
        <f>'RECAP #9425.01'!B3</f>
        <v>Program code 942501</v>
      </c>
      <c r="B3" s="182"/>
      <c r="C3" s="179"/>
      <c r="D3" s="184" t="str">
        <f>'RECAP #9425.01'!E3</f>
        <v>Major Program 4E02</v>
      </c>
      <c r="E3" s="179"/>
      <c r="F3" s="180"/>
      <c r="G3" s="180"/>
      <c r="H3" s="181"/>
      <c r="I3" s="181"/>
    </row>
    <row r="4" spans="1:9" ht="15.75" x14ac:dyDescent="0.25">
      <c r="A4" s="109" t="s">
        <v>113</v>
      </c>
      <c r="B4" s="126"/>
      <c r="C4" s="181"/>
      <c r="D4" s="185" t="s">
        <v>115</v>
      </c>
      <c r="E4" s="180"/>
      <c r="F4" s="180"/>
      <c r="G4" s="180"/>
      <c r="H4" s="181"/>
      <c r="I4" s="181"/>
    </row>
    <row r="5" spans="1:9" ht="15.75" x14ac:dyDescent="0.25">
      <c r="A5" s="186" t="s">
        <v>109</v>
      </c>
      <c r="B5" s="181"/>
      <c r="C5" s="187"/>
      <c r="D5" s="176" t="s">
        <v>120</v>
      </c>
      <c r="E5" s="137"/>
      <c r="F5" s="180"/>
      <c r="G5" s="180"/>
      <c r="H5" s="181"/>
      <c r="I5" s="181"/>
    </row>
    <row r="6" spans="1:9" ht="15.75" x14ac:dyDescent="0.25">
      <c r="A6" s="126" t="str">
        <f>'RECAP #9425.01'!B6</f>
        <v>Project Manager - Jennifer K.</v>
      </c>
      <c r="B6" s="126"/>
      <c r="C6" s="188"/>
      <c r="D6" s="189"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308</v>
      </c>
      <c r="B9" s="196">
        <v>45968</v>
      </c>
      <c r="C9" s="197" t="s">
        <v>107</v>
      </c>
      <c r="D9" s="198">
        <v>13967.81</v>
      </c>
      <c r="E9" s="199">
        <f>D9</f>
        <v>13967.81</v>
      </c>
      <c r="F9" s="200"/>
      <c r="G9" s="200"/>
      <c r="H9" s="200">
        <f>E9</f>
        <v>13967.81</v>
      </c>
      <c r="I9" s="137"/>
    </row>
    <row r="10" spans="1:9" x14ac:dyDescent="0.25">
      <c r="A10" s="195" t="s">
        <v>360</v>
      </c>
      <c r="B10" s="201">
        <v>45644</v>
      </c>
      <c r="C10" s="197" t="s">
        <v>361</v>
      </c>
      <c r="D10" s="199"/>
      <c r="E10" s="199">
        <f t="shared" ref="E10:E21" si="0">E9+D10</f>
        <v>13967.81</v>
      </c>
      <c r="F10" s="203">
        <v>1749.52</v>
      </c>
      <c r="G10" s="200">
        <f t="shared" ref="G10:G21" si="1">G9+F10</f>
        <v>1749.52</v>
      </c>
      <c r="H10" s="200">
        <f t="shared" ref="H10:H21" si="2">H9-F10+D10</f>
        <v>12218.289999999999</v>
      </c>
      <c r="I10" s="137"/>
    </row>
    <row r="11" spans="1:9" x14ac:dyDescent="0.25">
      <c r="A11" s="195" t="s">
        <v>436</v>
      </c>
      <c r="B11" s="196">
        <v>45672</v>
      </c>
      <c r="C11" s="197" t="s">
        <v>437</v>
      </c>
      <c r="D11" s="199"/>
      <c r="E11" s="199">
        <f t="shared" si="0"/>
        <v>13967.81</v>
      </c>
      <c r="F11" s="203">
        <v>1113.1300000000001</v>
      </c>
      <c r="G11" s="200">
        <f t="shared" si="1"/>
        <v>2862.65</v>
      </c>
      <c r="H11" s="200">
        <f t="shared" si="2"/>
        <v>11105.16</v>
      </c>
      <c r="I11" s="137"/>
    </row>
    <row r="12" spans="1:9" x14ac:dyDescent="0.25">
      <c r="A12" s="195" t="s">
        <v>504</v>
      </c>
      <c r="B12" s="196">
        <v>45700</v>
      </c>
      <c r="C12" s="197" t="s">
        <v>505</v>
      </c>
      <c r="D12" s="199"/>
      <c r="E12" s="199">
        <f t="shared" si="0"/>
        <v>13967.81</v>
      </c>
      <c r="F12" s="203">
        <v>2168.0500000000002</v>
      </c>
      <c r="G12" s="200">
        <f t="shared" si="1"/>
        <v>5030.7000000000007</v>
      </c>
      <c r="H12" s="200">
        <f t="shared" si="2"/>
        <v>8937.11</v>
      </c>
      <c r="I12" s="137"/>
    </row>
    <row r="13" spans="1:9" x14ac:dyDescent="0.25">
      <c r="A13" s="195" t="s">
        <v>575</v>
      </c>
      <c r="B13" s="196">
        <v>45737</v>
      </c>
      <c r="C13" s="197" t="s">
        <v>576</v>
      </c>
      <c r="D13" s="199"/>
      <c r="E13" s="199">
        <f t="shared" si="0"/>
        <v>13967.81</v>
      </c>
      <c r="F13" s="203">
        <v>3120.48</v>
      </c>
      <c r="G13" s="200">
        <f t="shared" si="1"/>
        <v>8151.18</v>
      </c>
      <c r="H13" s="200">
        <f t="shared" si="2"/>
        <v>5816.630000000001</v>
      </c>
      <c r="I13" s="137"/>
    </row>
    <row r="14" spans="1:9" x14ac:dyDescent="0.25">
      <c r="A14" s="195" t="s">
        <v>675</v>
      </c>
      <c r="B14" s="196">
        <v>45762</v>
      </c>
      <c r="C14" s="197" t="s">
        <v>676</v>
      </c>
      <c r="D14" s="202">
        <v>-4833.58</v>
      </c>
      <c r="E14" s="199">
        <f t="shared" si="0"/>
        <v>9134.23</v>
      </c>
      <c r="F14" s="203">
        <v>983.05</v>
      </c>
      <c r="G14" s="200">
        <f t="shared" si="1"/>
        <v>9134.23</v>
      </c>
      <c r="H14" s="200">
        <f t="shared" si="2"/>
        <v>0</v>
      </c>
      <c r="I14" s="137"/>
    </row>
    <row r="15" spans="1:9" x14ac:dyDescent="0.25">
      <c r="A15" s="195"/>
      <c r="B15" s="196"/>
      <c r="C15" s="197"/>
      <c r="D15" s="199"/>
      <c r="E15" s="199">
        <f t="shared" si="0"/>
        <v>9134.23</v>
      </c>
      <c r="F15" s="203"/>
      <c r="G15" s="200">
        <f t="shared" si="1"/>
        <v>9134.23</v>
      </c>
      <c r="H15" s="200">
        <f t="shared" si="2"/>
        <v>0</v>
      </c>
      <c r="I15" s="137"/>
    </row>
    <row r="16" spans="1:9" x14ac:dyDescent="0.25">
      <c r="A16" s="195"/>
      <c r="B16" s="196"/>
      <c r="C16" s="197"/>
      <c r="D16" s="199"/>
      <c r="E16" s="199">
        <f t="shared" si="0"/>
        <v>9134.23</v>
      </c>
      <c r="F16" s="203"/>
      <c r="G16" s="200">
        <f t="shared" si="1"/>
        <v>9134.23</v>
      </c>
      <c r="H16" s="200">
        <f t="shared" si="2"/>
        <v>0</v>
      </c>
      <c r="I16" s="137"/>
    </row>
    <row r="17" spans="1:9" x14ac:dyDescent="0.25">
      <c r="A17" s="195"/>
      <c r="B17" s="196"/>
      <c r="C17" s="197"/>
      <c r="D17" s="199"/>
      <c r="E17" s="199">
        <f t="shared" si="0"/>
        <v>9134.23</v>
      </c>
      <c r="F17" s="203"/>
      <c r="G17" s="200">
        <f t="shared" si="1"/>
        <v>9134.23</v>
      </c>
      <c r="H17" s="200">
        <f t="shared" si="2"/>
        <v>0</v>
      </c>
      <c r="I17" s="137"/>
    </row>
    <row r="18" spans="1:9" x14ac:dyDescent="0.25">
      <c r="A18" s="195"/>
      <c r="B18" s="196"/>
      <c r="C18" s="197"/>
      <c r="D18" s="199"/>
      <c r="E18" s="199">
        <f t="shared" si="0"/>
        <v>9134.23</v>
      </c>
      <c r="F18" s="203"/>
      <c r="G18" s="200">
        <f t="shared" si="1"/>
        <v>9134.23</v>
      </c>
      <c r="H18" s="200">
        <f t="shared" si="2"/>
        <v>0</v>
      </c>
      <c r="I18" s="137"/>
    </row>
    <row r="19" spans="1:9" x14ac:dyDescent="0.25">
      <c r="A19" s="195"/>
      <c r="B19" s="196"/>
      <c r="C19" s="197"/>
      <c r="D19" s="199"/>
      <c r="E19" s="199">
        <f t="shared" si="0"/>
        <v>9134.23</v>
      </c>
      <c r="F19" s="200"/>
      <c r="G19" s="200">
        <f t="shared" si="1"/>
        <v>9134.23</v>
      </c>
      <c r="H19" s="200">
        <f t="shared" si="2"/>
        <v>0</v>
      </c>
      <c r="I19" s="137"/>
    </row>
    <row r="20" spans="1:9" x14ac:dyDescent="0.25">
      <c r="A20" s="195"/>
      <c r="B20" s="196"/>
      <c r="C20" s="197"/>
      <c r="D20" s="199"/>
      <c r="E20" s="199">
        <f t="shared" si="0"/>
        <v>9134.23</v>
      </c>
      <c r="F20" s="200"/>
      <c r="G20" s="200">
        <f t="shared" si="1"/>
        <v>9134.23</v>
      </c>
      <c r="H20" s="200">
        <f t="shared" si="2"/>
        <v>0</v>
      </c>
      <c r="I20" s="137"/>
    </row>
    <row r="21" spans="1:9" x14ac:dyDescent="0.25">
      <c r="A21" s="195"/>
      <c r="B21" s="196"/>
      <c r="C21" s="204"/>
      <c r="D21" s="199"/>
      <c r="E21" s="199">
        <f t="shared" si="0"/>
        <v>9134.23</v>
      </c>
      <c r="F21" s="200"/>
      <c r="G21" s="200">
        <f t="shared" si="1"/>
        <v>9134.23</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9134.23</v>
      </c>
      <c r="E23" s="208"/>
      <c r="F23" s="208">
        <f>SUM(F9:F22)</f>
        <v>9134.23</v>
      </c>
      <c r="G23" s="208"/>
      <c r="H23" s="208">
        <f>D23-F23</f>
        <v>0</v>
      </c>
      <c r="I23" s="132" t="s">
        <v>169</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192</v>
      </c>
      <c r="D26" s="200">
        <f>13647.81-4833.58</f>
        <v>8814.23</v>
      </c>
      <c r="E26" s="200"/>
      <c r="F26" s="200">
        <f>1589.52+1113.13+2168.05+2960.48+983.05</f>
        <v>8814.23</v>
      </c>
      <c r="G26" s="200"/>
      <c r="H26" s="200">
        <f>D26-F26</f>
        <v>0</v>
      </c>
      <c r="I26" s="137"/>
    </row>
    <row r="27" spans="1:9" x14ac:dyDescent="0.25">
      <c r="A27" s="195"/>
      <c r="B27" s="197"/>
      <c r="C27" s="205" t="s">
        <v>118</v>
      </c>
      <c r="D27" s="200">
        <v>320</v>
      </c>
      <c r="E27" s="200"/>
      <c r="F27" s="200">
        <f>160+160</f>
        <v>320</v>
      </c>
      <c r="G27" s="200"/>
      <c r="H27" s="200">
        <f>D27-F27</f>
        <v>0</v>
      </c>
      <c r="I27" s="137"/>
    </row>
    <row r="28" spans="1:9" ht="15.75" thickBot="1" x14ac:dyDescent="0.3">
      <c r="A28" s="195"/>
      <c r="B28" s="197"/>
      <c r="C28" s="324" t="s">
        <v>555</v>
      </c>
      <c r="D28" s="208">
        <f>SUM(D26:D27)</f>
        <v>9134.23</v>
      </c>
      <c r="E28" s="210"/>
      <c r="F28" s="208">
        <f>SUM(F26:F27)</f>
        <v>9134.23</v>
      </c>
      <c r="G28" s="210"/>
      <c r="H28" s="208">
        <f>SUM(H26:H27)</f>
        <v>0</v>
      </c>
      <c r="I28" s="137"/>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3">
    <tabColor rgb="FF0070C0"/>
    <pageSetUpPr fitToPage="1"/>
  </sheetPr>
  <dimension ref="A1:J41"/>
  <sheetViews>
    <sheetView tabSelected="1" zoomScaleNormal="100" workbookViewId="0">
      <selection activeCell="C38" sqref="C38"/>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109" t="str">
        <f>'RECAP #9425.01'!B1</f>
        <v>HHS STS North Buildings HazMat Survey</v>
      </c>
      <c r="B1" s="109"/>
      <c r="C1" s="109"/>
      <c r="D1" s="179"/>
      <c r="E1" s="179"/>
      <c r="F1" s="179"/>
      <c r="G1" s="180"/>
      <c r="H1" s="180"/>
      <c r="I1" s="181"/>
      <c r="J1" s="181"/>
    </row>
    <row r="2" spans="1:10" ht="15.75" x14ac:dyDescent="0.25">
      <c r="A2" s="126" t="str">
        <f>'RECAP #9425.01'!B2</f>
        <v>Project # 9425.01</v>
      </c>
      <c r="B2" s="182"/>
      <c r="C2" s="182"/>
      <c r="D2" s="179"/>
      <c r="E2" s="179"/>
      <c r="F2" s="179"/>
      <c r="G2" s="180"/>
      <c r="H2" s="180"/>
      <c r="I2" s="181"/>
      <c r="J2" s="181"/>
    </row>
    <row r="3" spans="1:10" ht="15.75" x14ac:dyDescent="0.25">
      <c r="A3" s="183" t="str">
        <f>'RECAP #9425.01'!B3</f>
        <v>Program code 942501</v>
      </c>
      <c r="B3" s="182"/>
      <c r="C3" s="182"/>
      <c r="D3" s="179"/>
      <c r="E3" s="184" t="str">
        <f>'RECAP #9425.01'!E3</f>
        <v>Major Program 4E02</v>
      </c>
      <c r="F3" s="179"/>
      <c r="G3" s="180"/>
      <c r="H3" s="180"/>
      <c r="I3" s="181"/>
      <c r="J3" s="181"/>
    </row>
    <row r="4" spans="1:10" ht="15.75" x14ac:dyDescent="0.25">
      <c r="A4" s="109" t="s">
        <v>41</v>
      </c>
      <c r="B4" s="126"/>
      <c r="C4" s="126"/>
      <c r="D4" s="181"/>
      <c r="E4" s="185" t="s">
        <v>55</v>
      </c>
      <c r="F4" s="180"/>
      <c r="G4" s="180"/>
      <c r="H4" s="180"/>
      <c r="I4" s="181"/>
      <c r="J4" s="181"/>
    </row>
    <row r="5" spans="1:10" ht="15.75" x14ac:dyDescent="0.25">
      <c r="A5" s="186" t="s">
        <v>61</v>
      </c>
      <c r="B5" s="181"/>
      <c r="C5" s="181"/>
      <c r="D5" s="187"/>
      <c r="E5" s="132"/>
      <c r="F5" s="137"/>
      <c r="G5" s="180"/>
      <c r="H5" s="180"/>
      <c r="I5" s="181"/>
      <c r="J5" s="181"/>
    </row>
    <row r="6" spans="1:10" ht="15.75" x14ac:dyDescent="0.25">
      <c r="A6" s="126" t="str">
        <f>'RECAP #9425.01'!B6</f>
        <v>Project Manager - Jennifer K.</v>
      </c>
      <c r="B6" s="126"/>
      <c r="C6" s="126"/>
      <c r="D6" s="188"/>
      <c r="E6" s="132" t="s">
        <v>289</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49</v>
      </c>
      <c r="B8" s="192" t="s">
        <v>4</v>
      </c>
      <c r="C8" s="315" t="s">
        <v>56</v>
      </c>
      <c r="D8" s="327" t="s">
        <v>57</v>
      </c>
      <c r="E8" s="194" t="s">
        <v>50</v>
      </c>
      <c r="F8" s="194" t="s">
        <v>51</v>
      </c>
      <c r="G8" s="194" t="s">
        <v>52</v>
      </c>
      <c r="H8" s="194" t="s">
        <v>53</v>
      </c>
      <c r="I8" s="194" t="s">
        <v>12</v>
      </c>
      <c r="J8" s="181" t="s">
        <v>3</v>
      </c>
    </row>
    <row r="9" spans="1:10" s="330" customFormat="1" ht="12.75" customHeight="1" x14ac:dyDescent="0.25">
      <c r="A9" s="563"/>
      <c r="B9" s="500"/>
      <c r="C9" s="500"/>
      <c r="D9" s="515" t="s">
        <v>92</v>
      </c>
      <c r="E9" s="404">
        <f>14370-6882.14</f>
        <v>7487.86</v>
      </c>
      <c r="F9" s="502">
        <f>E9</f>
        <v>7487.86</v>
      </c>
      <c r="G9" s="406"/>
      <c r="H9" s="503"/>
      <c r="I9" s="503">
        <f>F9</f>
        <v>7487.86</v>
      </c>
      <c r="J9" s="504"/>
    </row>
    <row r="10" spans="1:10" s="330" customFormat="1" ht="12.75" customHeight="1" x14ac:dyDescent="0.25">
      <c r="A10" s="564" t="s">
        <v>314</v>
      </c>
      <c r="B10" s="500">
        <v>45603</v>
      </c>
      <c r="C10" s="565">
        <v>2507</v>
      </c>
      <c r="D10" s="515" t="s">
        <v>315</v>
      </c>
      <c r="E10" s="502"/>
      <c r="F10" s="502">
        <f t="shared" ref="F10:F28" si="0">F9+E10</f>
        <v>7487.86</v>
      </c>
      <c r="G10" s="406">
        <f>13.12+26.65</f>
        <v>39.769999999999996</v>
      </c>
      <c r="H10" s="503">
        <f t="shared" ref="H10:H28" si="1">H9+G10</f>
        <v>39.769999999999996</v>
      </c>
      <c r="I10" s="503">
        <f t="shared" ref="I10:I28" si="2">I9-G10+E10</f>
        <v>7448.0899999999992</v>
      </c>
      <c r="J10" s="504"/>
    </row>
    <row r="11" spans="1:10" s="330" customFormat="1" ht="12.75" customHeight="1" x14ac:dyDescent="0.25">
      <c r="A11" s="564" t="s">
        <v>314</v>
      </c>
      <c r="B11" s="500">
        <v>45603</v>
      </c>
      <c r="C11" s="565">
        <v>9500</v>
      </c>
      <c r="D11" s="515" t="s">
        <v>316</v>
      </c>
      <c r="E11" s="502"/>
      <c r="F11" s="502">
        <f t="shared" si="0"/>
        <v>7487.86</v>
      </c>
      <c r="G11" s="406">
        <f>19.5+243.1</f>
        <v>262.60000000000002</v>
      </c>
      <c r="H11" s="503">
        <f t="shared" si="1"/>
        <v>302.37</v>
      </c>
      <c r="I11" s="503">
        <f t="shared" si="2"/>
        <v>7185.4899999999989</v>
      </c>
      <c r="J11" s="504"/>
    </row>
    <row r="12" spans="1:10" s="330" customFormat="1" ht="12.75" customHeight="1" x14ac:dyDescent="0.25">
      <c r="A12" s="564" t="s">
        <v>343</v>
      </c>
      <c r="B12" s="351">
        <v>45635</v>
      </c>
      <c r="C12" s="357">
        <v>2507</v>
      </c>
      <c r="D12" s="352" t="s">
        <v>344</v>
      </c>
      <c r="E12" s="502"/>
      <c r="F12" s="502">
        <f t="shared" si="0"/>
        <v>7487.86</v>
      </c>
      <c r="G12" s="406">
        <f>90.59+163.38</f>
        <v>253.97</v>
      </c>
      <c r="H12" s="503">
        <f t="shared" si="1"/>
        <v>556.34</v>
      </c>
      <c r="I12" s="503">
        <f t="shared" si="2"/>
        <v>6931.5199999999986</v>
      </c>
      <c r="J12" s="504"/>
    </row>
    <row r="13" spans="1:10" s="330" customFormat="1" ht="12.75" customHeight="1" x14ac:dyDescent="0.25">
      <c r="A13" s="564" t="s">
        <v>343</v>
      </c>
      <c r="B13" s="351">
        <v>45635</v>
      </c>
      <c r="C13" s="357">
        <v>9500</v>
      </c>
      <c r="D13" s="352" t="s">
        <v>345</v>
      </c>
      <c r="E13" s="502"/>
      <c r="F13" s="502">
        <f t="shared" si="0"/>
        <v>7487.86</v>
      </c>
      <c r="G13" s="406">
        <f>112.5+1573</f>
        <v>1685.5</v>
      </c>
      <c r="H13" s="503">
        <f t="shared" si="1"/>
        <v>2241.84</v>
      </c>
      <c r="I13" s="503">
        <f t="shared" si="2"/>
        <v>5246.0199999999986</v>
      </c>
      <c r="J13" s="504"/>
    </row>
    <row r="14" spans="1:10" s="330" customFormat="1" ht="12.75" customHeight="1" x14ac:dyDescent="0.25">
      <c r="A14" s="564" t="s">
        <v>404</v>
      </c>
      <c r="B14" s="351">
        <v>45666</v>
      </c>
      <c r="C14" s="357">
        <v>2507</v>
      </c>
      <c r="D14" s="352" t="s">
        <v>405</v>
      </c>
      <c r="E14" s="502"/>
      <c r="F14" s="502">
        <f t="shared" si="0"/>
        <v>7487.86</v>
      </c>
      <c r="G14" s="406">
        <f>20.74+25.24</f>
        <v>45.98</v>
      </c>
      <c r="H14" s="503">
        <f t="shared" si="1"/>
        <v>2287.8200000000002</v>
      </c>
      <c r="I14" s="503">
        <f t="shared" si="2"/>
        <v>5200.0399999999991</v>
      </c>
      <c r="J14" s="504"/>
    </row>
    <row r="15" spans="1:10" s="330" customFormat="1" ht="12.75" customHeight="1" x14ac:dyDescent="0.25">
      <c r="A15" s="564" t="s">
        <v>404</v>
      </c>
      <c r="B15" s="351">
        <v>45666</v>
      </c>
      <c r="C15" s="357">
        <v>9500</v>
      </c>
      <c r="D15" s="352" t="s">
        <v>406</v>
      </c>
      <c r="E15" s="502"/>
      <c r="F15" s="502">
        <f t="shared" si="0"/>
        <v>7487.86</v>
      </c>
      <c r="G15" s="406">
        <f>32.5+422.4</f>
        <v>454.9</v>
      </c>
      <c r="H15" s="503">
        <f t="shared" si="1"/>
        <v>2742.7200000000003</v>
      </c>
      <c r="I15" s="503">
        <f t="shared" si="2"/>
        <v>4745.1399999999994</v>
      </c>
      <c r="J15" s="504"/>
    </row>
    <row r="16" spans="1:10" s="330" customFormat="1" ht="12.75" customHeight="1" x14ac:dyDescent="0.25">
      <c r="A16" s="564" t="s">
        <v>506</v>
      </c>
      <c r="B16" s="351">
        <v>45699</v>
      </c>
      <c r="C16" s="357">
        <v>2507</v>
      </c>
      <c r="D16" s="352" t="s">
        <v>507</v>
      </c>
      <c r="E16" s="502"/>
      <c r="F16" s="502">
        <f t="shared" si="0"/>
        <v>7487.86</v>
      </c>
      <c r="G16" s="406">
        <f>45.29+56.1</f>
        <v>101.39</v>
      </c>
      <c r="H16" s="503">
        <f t="shared" si="1"/>
        <v>2844.11</v>
      </c>
      <c r="I16" s="503">
        <f t="shared" si="2"/>
        <v>4643.7499999999991</v>
      </c>
      <c r="J16" s="504"/>
    </row>
    <row r="17" spans="1:10" s="330" customFormat="1" ht="12.75" customHeight="1" x14ac:dyDescent="0.25">
      <c r="A17" s="564" t="s">
        <v>506</v>
      </c>
      <c r="B17" s="351">
        <v>45699</v>
      </c>
      <c r="C17" s="357">
        <v>9500</v>
      </c>
      <c r="D17" s="352" t="s">
        <v>508</v>
      </c>
      <c r="E17" s="502"/>
      <c r="F17" s="502">
        <f t="shared" si="0"/>
        <v>7487.86</v>
      </c>
      <c r="G17" s="406">
        <f>66.5+1018.6</f>
        <v>1085.0999999999999</v>
      </c>
      <c r="H17" s="503">
        <f t="shared" si="1"/>
        <v>3929.21</v>
      </c>
      <c r="I17" s="503">
        <f t="shared" si="2"/>
        <v>3558.6499999999992</v>
      </c>
      <c r="J17" s="504"/>
    </row>
    <row r="18" spans="1:10" s="330" customFormat="1" ht="12.75" customHeight="1" x14ac:dyDescent="0.25">
      <c r="A18" s="564" t="s">
        <v>559</v>
      </c>
      <c r="B18" s="500">
        <v>45723</v>
      </c>
      <c r="C18" s="565">
        <v>2507</v>
      </c>
      <c r="D18" s="352" t="s">
        <v>560</v>
      </c>
      <c r="E18" s="502"/>
      <c r="F18" s="502">
        <f t="shared" si="0"/>
        <v>7487.86</v>
      </c>
      <c r="G18" s="406">
        <f>18.2+65.21</f>
        <v>83.41</v>
      </c>
      <c r="H18" s="503">
        <f t="shared" si="1"/>
        <v>4012.62</v>
      </c>
      <c r="I18" s="503">
        <f t="shared" si="2"/>
        <v>3475.2399999999993</v>
      </c>
      <c r="J18" s="504"/>
    </row>
    <row r="19" spans="1:10" s="330" customFormat="1" ht="12.75" customHeight="1" x14ac:dyDescent="0.25">
      <c r="A19" s="564" t="s">
        <v>559</v>
      </c>
      <c r="B19" s="500">
        <v>45723</v>
      </c>
      <c r="C19" s="565">
        <v>9500</v>
      </c>
      <c r="D19" s="352" t="s">
        <v>561</v>
      </c>
      <c r="E19" s="502"/>
      <c r="F19" s="502">
        <f t="shared" si="0"/>
        <v>7487.86</v>
      </c>
      <c r="G19" s="406">
        <f>25+336.6</f>
        <v>361.6</v>
      </c>
      <c r="H19" s="503">
        <f t="shared" si="1"/>
        <v>4374.22</v>
      </c>
      <c r="I19" s="503">
        <f t="shared" si="2"/>
        <v>3113.6399999999994</v>
      </c>
      <c r="J19" s="504"/>
    </row>
    <row r="20" spans="1:10" s="330" customFormat="1" ht="12.75" customHeight="1" x14ac:dyDescent="0.25">
      <c r="A20" s="564" t="s">
        <v>656</v>
      </c>
      <c r="B20" s="500">
        <v>45756</v>
      </c>
      <c r="C20" s="565">
        <v>2507</v>
      </c>
      <c r="D20" s="352" t="s">
        <v>657</v>
      </c>
      <c r="E20" s="502"/>
      <c r="F20" s="502">
        <f t="shared" si="0"/>
        <v>7487.86</v>
      </c>
      <c r="G20" s="406">
        <f>29.63+43.47</f>
        <v>73.099999999999994</v>
      </c>
      <c r="H20" s="503">
        <f t="shared" si="1"/>
        <v>4447.3200000000006</v>
      </c>
      <c r="I20" s="503">
        <f t="shared" si="2"/>
        <v>3040.5399999999995</v>
      </c>
      <c r="J20" s="504"/>
    </row>
    <row r="21" spans="1:10" s="330" customFormat="1" ht="12.75" customHeight="1" x14ac:dyDescent="0.25">
      <c r="A21" s="564" t="s">
        <v>656</v>
      </c>
      <c r="B21" s="500">
        <v>45756</v>
      </c>
      <c r="C21" s="565">
        <v>9500</v>
      </c>
      <c r="D21" s="352" t="s">
        <v>658</v>
      </c>
      <c r="E21" s="502"/>
      <c r="F21" s="502">
        <f t="shared" si="0"/>
        <v>7487.86</v>
      </c>
      <c r="G21" s="406">
        <f>41+482.9</f>
        <v>523.9</v>
      </c>
      <c r="H21" s="503">
        <f t="shared" si="1"/>
        <v>4971.22</v>
      </c>
      <c r="I21" s="503">
        <f t="shared" si="2"/>
        <v>2516.6399999999994</v>
      </c>
      <c r="J21" s="504"/>
    </row>
    <row r="22" spans="1:10" s="330" customFormat="1" ht="12.75" customHeight="1" x14ac:dyDescent="0.25">
      <c r="A22" s="564" t="s">
        <v>727</v>
      </c>
      <c r="B22" s="500">
        <v>45786</v>
      </c>
      <c r="C22" s="565">
        <v>2507</v>
      </c>
      <c r="D22" s="352" t="s">
        <v>729</v>
      </c>
      <c r="E22" s="502"/>
      <c r="F22" s="502">
        <f t="shared" si="0"/>
        <v>7487.86</v>
      </c>
      <c r="G22" s="406">
        <f>59.69+79.94</f>
        <v>139.63</v>
      </c>
      <c r="H22" s="503">
        <f t="shared" si="1"/>
        <v>5110.8500000000004</v>
      </c>
      <c r="I22" s="503">
        <f t="shared" si="2"/>
        <v>2377.0099999999993</v>
      </c>
      <c r="J22" s="504"/>
    </row>
    <row r="23" spans="1:10" s="330" customFormat="1" ht="12.75" customHeight="1" x14ac:dyDescent="0.25">
      <c r="A23" s="564" t="s">
        <v>727</v>
      </c>
      <c r="B23" s="500">
        <v>45786</v>
      </c>
      <c r="C23" s="565">
        <v>9500</v>
      </c>
      <c r="D23" s="352" t="s">
        <v>730</v>
      </c>
      <c r="E23" s="502"/>
      <c r="F23" s="502">
        <f t="shared" si="0"/>
        <v>7487.86</v>
      </c>
      <c r="G23" s="406">
        <f>75+887.7</f>
        <v>962.7</v>
      </c>
      <c r="H23" s="503">
        <f t="shared" si="1"/>
        <v>6073.55</v>
      </c>
      <c r="I23" s="503">
        <f t="shared" si="2"/>
        <v>1414.3099999999993</v>
      </c>
      <c r="J23" s="504"/>
    </row>
    <row r="24" spans="1:10" s="330" customFormat="1" ht="12.75" customHeight="1" x14ac:dyDescent="0.25">
      <c r="A24" s="564" t="s">
        <v>822</v>
      </c>
      <c r="B24" s="500">
        <v>45817</v>
      </c>
      <c r="C24" s="565">
        <v>2507</v>
      </c>
      <c r="D24" s="352" t="s">
        <v>823</v>
      </c>
      <c r="E24" s="502"/>
      <c r="F24" s="502">
        <f t="shared" si="0"/>
        <v>7487.86</v>
      </c>
      <c r="G24" s="406">
        <f>42.33+34.36</f>
        <v>76.69</v>
      </c>
      <c r="H24" s="503">
        <f t="shared" si="1"/>
        <v>6150.24</v>
      </c>
      <c r="I24" s="503">
        <f t="shared" si="2"/>
        <v>1337.6199999999992</v>
      </c>
      <c r="J24" s="504"/>
    </row>
    <row r="25" spans="1:10" s="330" customFormat="1" ht="12.75" customHeight="1" x14ac:dyDescent="0.25">
      <c r="A25" s="564" t="s">
        <v>822</v>
      </c>
      <c r="B25" s="500">
        <v>45817</v>
      </c>
      <c r="C25" s="565">
        <v>9500</v>
      </c>
      <c r="D25" s="352" t="s">
        <v>824</v>
      </c>
      <c r="E25" s="502"/>
      <c r="F25" s="502">
        <f t="shared" si="0"/>
        <v>7487.86</v>
      </c>
      <c r="G25" s="406">
        <f>49+553.3</f>
        <v>602.29999999999995</v>
      </c>
      <c r="H25" s="503">
        <f t="shared" si="1"/>
        <v>6752.54</v>
      </c>
      <c r="I25" s="503">
        <f t="shared" si="2"/>
        <v>735.31999999999925</v>
      </c>
      <c r="J25" s="504"/>
    </row>
    <row r="26" spans="1:10" s="330" customFormat="1" ht="12.75" customHeight="1" x14ac:dyDescent="0.25">
      <c r="A26" s="564" t="s">
        <v>942</v>
      </c>
      <c r="B26" s="500">
        <v>45848</v>
      </c>
      <c r="C26" s="565">
        <v>2507</v>
      </c>
      <c r="D26" s="352" t="s">
        <v>943</v>
      </c>
      <c r="E26" s="502"/>
      <c r="F26" s="502">
        <f t="shared" si="0"/>
        <v>7487.86</v>
      </c>
      <c r="G26" s="406">
        <f>38.94+44.88</f>
        <v>83.82</v>
      </c>
      <c r="H26" s="503">
        <f t="shared" si="1"/>
        <v>6836.36</v>
      </c>
      <c r="I26" s="503">
        <f t="shared" si="2"/>
        <v>651.49999999999932</v>
      </c>
      <c r="J26" s="504"/>
    </row>
    <row r="27" spans="1:10" s="330" customFormat="1" ht="12.75" customHeight="1" x14ac:dyDescent="0.25">
      <c r="A27" s="564" t="s">
        <v>942</v>
      </c>
      <c r="B27" s="500">
        <v>45848</v>
      </c>
      <c r="C27" s="565">
        <v>9500</v>
      </c>
      <c r="D27" s="352" t="s">
        <v>944</v>
      </c>
      <c r="E27" s="502"/>
      <c r="F27" s="502">
        <f t="shared" si="0"/>
        <v>7487.86</v>
      </c>
      <c r="G27" s="406">
        <f>57.5+594</f>
        <v>651.5</v>
      </c>
      <c r="H27" s="503">
        <f t="shared" si="1"/>
        <v>7487.86</v>
      </c>
      <c r="I27" s="503">
        <f t="shared" si="2"/>
        <v>-6.8212102632969618E-13</v>
      </c>
      <c r="J27" s="504"/>
    </row>
    <row r="28" spans="1:10" s="330" customFormat="1" ht="12.75" customHeight="1" x14ac:dyDescent="0.25">
      <c r="A28" s="352"/>
      <c r="B28" s="500"/>
      <c r="C28" s="500"/>
      <c r="D28" s="504"/>
      <c r="E28" s="502"/>
      <c r="F28" s="502">
        <f t="shared" si="0"/>
        <v>7487.86</v>
      </c>
      <c r="G28" s="503"/>
      <c r="H28" s="503">
        <f t="shared" si="1"/>
        <v>7487.86</v>
      </c>
      <c r="I28" s="503">
        <f t="shared" si="2"/>
        <v>-6.8212102632969618E-13</v>
      </c>
      <c r="J28" s="504"/>
    </row>
    <row r="29" spans="1:10" s="330" customFormat="1" ht="12.75" customHeight="1" x14ac:dyDescent="0.25">
      <c r="A29" s="352"/>
      <c r="B29" s="501"/>
      <c r="C29" s="501"/>
      <c r="D29" s="515"/>
      <c r="E29" s="503"/>
      <c r="F29" s="503"/>
      <c r="G29" s="503"/>
      <c r="H29" s="503"/>
      <c r="I29" s="503"/>
      <c r="J29" s="504"/>
    </row>
    <row r="30" spans="1:10" s="330" customFormat="1" ht="12.75" customHeight="1" thickBot="1" x14ac:dyDescent="0.3">
      <c r="A30" s="352"/>
      <c r="B30" s="516"/>
      <c r="C30" s="516"/>
      <c r="D30" s="517" t="s">
        <v>54</v>
      </c>
      <c r="E30" s="405">
        <f>SUM(E9:E29)</f>
        <v>7487.86</v>
      </c>
      <c r="F30" s="405"/>
      <c r="G30" s="405">
        <f>SUM(G9:G29)</f>
        <v>7487.86</v>
      </c>
      <c r="H30" s="405"/>
      <c r="I30" s="405">
        <f>E30-G30</f>
        <v>0</v>
      </c>
      <c r="J30" s="504"/>
    </row>
    <row r="31" spans="1:10" s="330" customFormat="1" ht="12.75" customHeight="1" thickTop="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4">
    <tabColor rgb="FF0070C0"/>
    <pageSetUpPr fitToPage="1"/>
  </sheetPr>
  <dimension ref="A1:H23"/>
  <sheetViews>
    <sheetView tabSelected="1" zoomScaleNormal="100" workbookViewId="0">
      <selection activeCell="C38" sqref="C3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7109375" customWidth="1"/>
    <col min="7" max="7" width="12.42578125" customWidth="1"/>
    <col min="8" max="8" width="15.42578125" customWidth="1"/>
  </cols>
  <sheetData>
    <row r="1" spans="1:8" ht="15.75" x14ac:dyDescent="0.25">
      <c r="A1" s="109" t="str">
        <f>'RECAP #9425.01'!B1</f>
        <v>HHS STS North Buildings HazMat Survey</v>
      </c>
      <c r="B1" s="109"/>
      <c r="C1" s="109"/>
      <c r="D1" s="109"/>
      <c r="E1" s="179"/>
      <c r="F1" s="179"/>
      <c r="G1" s="179"/>
      <c r="H1" s="180"/>
    </row>
    <row r="2" spans="1:8" ht="15.75" x14ac:dyDescent="0.25">
      <c r="A2" s="126" t="str">
        <f>'RECAP #9425.01'!B2</f>
        <v>Project # 9425.01</v>
      </c>
      <c r="B2" s="182"/>
      <c r="C2" s="182"/>
      <c r="D2" s="182"/>
      <c r="E2" s="179"/>
      <c r="F2" s="179"/>
      <c r="G2" s="179"/>
      <c r="H2" s="180"/>
    </row>
    <row r="3" spans="1:8" ht="15.75" x14ac:dyDescent="0.25">
      <c r="A3" s="183" t="str">
        <f>'RECAP #9425.01'!B3</f>
        <v>Program code 942501</v>
      </c>
      <c r="B3" s="182"/>
      <c r="C3" s="182"/>
      <c r="D3" s="182"/>
      <c r="E3" s="184" t="str">
        <f>'RECAP #9425.01'!E3</f>
        <v>Major Program 4E02</v>
      </c>
      <c r="F3" s="182"/>
      <c r="G3" s="179"/>
      <c r="H3" s="180"/>
    </row>
    <row r="4" spans="1:8" ht="15.75" x14ac:dyDescent="0.25">
      <c r="A4" s="314" t="s">
        <v>14</v>
      </c>
      <c r="B4" s="126"/>
      <c r="C4" s="126"/>
      <c r="D4" s="126"/>
      <c r="E4" s="185"/>
      <c r="F4" s="182"/>
      <c r="G4" s="180"/>
      <c r="H4" s="180"/>
    </row>
    <row r="5" spans="1:8" ht="15.75" x14ac:dyDescent="0.25">
      <c r="A5" s="186" t="s">
        <v>61</v>
      </c>
      <c r="B5" s="181"/>
      <c r="C5" s="181"/>
      <c r="D5" s="181"/>
      <c r="E5" s="168" t="s">
        <v>58</v>
      </c>
      <c r="F5" s="182"/>
      <c r="G5" s="137"/>
      <c r="H5" s="180"/>
    </row>
    <row r="6" spans="1:8" ht="15.75" x14ac:dyDescent="0.25">
      <c r="A6" s="126" t="str">
        <f>'RECAP #9425.01'!B6</f>
        <v>Project Manager - Jennifer K.</v>
      </c>
      <c r="B6" s="126"/>
      <c r="C6" s="126"/>
      <c r="D6" s="126"/>
      <c r="E6" s="184" t="s">
        <v>309</v>
      </c>
      <c r="F6" s="181"/>
      <c r="G6" s="137"/>
      <c r="H6" s="180"/>
    </row>
    <row r="7" spans="1:8" ht="15.75" x14ac:dyDescent="0.25">
      <c r="A7" s="182"/>
      <c r="B7" s="190"/>
      <c r="C7" s="190"/>
      <c r="D7" s="190"/>
      <c r="E7" s="190"/>
      <c r="F7" s="182"/>
      <c r="G7" s="180"/>
      <c r="H7" s="180"/>
    </row>
    <row r="8" spans="1:8" ht="32.25" thickBot="1" x14ac:dyDescent="0.3">
      <c r="A8" s="191" t="s">
        <v>59</v>
      </c>
      <c r="B8" s="192" t="s">
        <v>4</v>
      </c>
      <c r="C8" s="315" t="s">
        <v>56</v>
      </c>
      <c r="D8" s="315" t="s">
        <v>57</v>
      </c>
      <c r="E8" s="193" t="s">
        <v>11</v>
      </c>
      <c r="F8" s="194" t="s">
        <v>60</v>
      </c>
      <c r="G8" s="194" t="s">
        <v>52</v>
      </c>
      <c r="H8" s="194" t="s">
        <v>53</v>
      </c>
    </row>
    <row r="9" spans="1:8" x14ac:dyDescent="0.25">
      <c r="A9" s="204" t="s">
        <v>736</v>
      </c>
      <c r="B9" s="196">
        <v>45786</v>
      </c>
      <c r="C9" s="328" t="s">
        <v>321</v>
      </c>
      <c r="D9" s="328" t="s">
        <v>322</v>
      </c>
      <c r="E9" s="137" t="s">
        <v>696</v>
      </c>
      <c r="F9" s="337" t="s">
        <v>735</v>
      </c>
      <c r="G9" s="203">
        <v>200</v>
      </c>
      <c r="H9" s="211">
        <f>G9</f>
        <v>200</v>
      </c>
    </row>
    <row r="10" spans="1:8" x14ac:dyDescent="0.25">
      <c r="A10" s="328"/>
      <c r="B10" s="196"/>
      <c r="C10" s="205"/>
      <c r="D10" s="205"/>
      <c r="E10" s="137"/>
      <c r="F10" s="262"/>
      <c r="G10" s="211"/>
      <c r="H10" s="211">
        <f>H9+G10</f>
        <v>200</v>
      </c>
    </row>
    <row r="11" spans="1:8" x14ac:dyDescent="0.25">
      <c r="A11" s="328"/>
      <c r="B11" s="196"/>
      <c r="C11" s="196"/>
      <c r="D11" s="196"/>
      <c r="E11" s="137"/>
      <c r="F11" s="262"/>
      <c r="G11" s="211"/>
      <c r="H11" s="211">
        <f t="shared" ref="H11:H20" si="0">H10+G11</f>
        <v>200</v>
      </c>
    </row>
    <row r="12" spans="1:8" x14ac:dyDescent="0.25">
      <c r="A12" s="328" t="s">
        <v>3</v>
      </c>
      <c r="B12" s="196" t="s">
        <v>3</v>
      </c>
      <c r="C12" s="196"/>
      <c r="D12" s="196"/>
      <c r="E12" s="137" t="s">
        <v>3</v>
      </c>
      <c r="F12" s="262"/>
      <c r="G12" s="211"/>
      <c r="H12" s="211">
        <f t="shared" si="0"/>
        <v>200</v>
      </c>
    </row>
    <row r="13" spans="1:8" x14ac:dyDescent="0.25">
      <c r="A13" s="328" t="s">
        <v>3</v>
      </c>
      <c r="B13" s="196" t="s">
        <v>3</v>
      </c>
      <c r="C13" s="196"/>
      <c r="D13" s="196"/>
      <c r="E13" s="137" t="s">
        <v>3</v>
      </c>
      <c r="F13" s="262"/>
      <c r="G13" s="211"/>
      <c r="H13" s="211">
        <f t="shared" si="0"/>
        <v>200</v>
      </c>
    </row>
    <row r="14" spans="1:8" x14ac:dyDescent="0.25">
      <c r="A14" s="328"/>
      <c r="B14" s="196"/>
      <c r="C14" s="196"/>
      <c r="D14" s="196"/>
      <c r="E14" s="137"/>
      <c r="F14" s="262"/>
      <c r="G14" s="211"/>
      <c r="H14" s="211">
        <f t="shared" si="0"/>
        <v>200</v>
      </c>
    </row>
    <row r="15" spans="1:8" x14ac:dyDescent="0.25">
      <c r="A15" s="328"/>
      <c r="B15" s="196"/>
      <c r="C15" s="196"/>
      <c r="D15" s="196"/>
      <c r="E15" s="132"/>
      <c r="F15" s="262"/>
      <c r="G15" s="211"/>
      <c r="H15" s="211">
        <f t="shared" si="0"/>
        <v>200</v>
      </c>
    </row>
    <row r="16" spans="1:8" x14ac:dyDescent="0.25">
      <c r="A16" s="328"/>
      <c r="B16" s="196"/>
      <c r="C16" s="196"/>
      <c r="D16" s="196"/>
      <c r="E16" s="137"/>
      <c r="F16" s="262"/>
      <c r="G16" s="211"/>
      <c r="H16" s="211">
        <f t="shared" si="0"/>
        <v>200</v>
      </c>
    </row>
    <row r="17" spans="1:8" x14ac:dyDescent="0.25">
      <c r="A17" s="195"/>
      <c r="B17" s="196"/>
      <c r="C17" s="196"/>
      <c r="D17" s="196"/>
      <c r="E17" s="137"/>
      <c r="F17" s="262"/>
      <c r="G17" s="211"/>
      <c r="H17" s="211">
        <f t="shared" si="0"/>
        <v>200</v>
      </c>
    </row>
    <row r="18" spans="1:8" x14ac:dyDescent="0.25">
      <c r="A18" s="195"/>
      <c r="B18" s="196"/>
      <c r="C18" s="196"/>
      <c r="D18" s="196"/>
      <c r="E18" s="137"/>
      <c r="F18" s="262"/>
      <c r="G18" s="211"/>
      <c r="H18" s="211">
        <f t="shared" si="0"/>
        <v>200</v>
      </c>
    </row>
    <row r="19" spans="1:8" x14ac:dyDescent="0.25">
      <c r="A19" s="195"/>
      <c r="B19" s="196"/>
      <c r="C19" s="196"/>
      <c r="D19" s="196"/>
      <c r="E19" s="137"/>
      <c r="F19" s="262"/>
      <c r="G19" s="211"/>
      <c r="H19" s="211">
        <f t="shared" si="0"/>
        <v>200</v>
      </c>
    </row>
    <row r="20" spans="1:8" x14ac:dyDescent="0.25">
      <c r="A20" s="195"/>
      <c r="B20" s="196"/>
      <c r="C20" s="196"/>
      <c r="D20" s="196"/>
      <c r="E20" s="137"/>
      <c r="F20" s="262"/>
      <c r="G20" s="211"/>
      <c r="H20" s="211">
        <f t="shared" si="0"/>
        <v>200</v>
      </c>
    </row>
    <row r="21" spans="1:8" x14ac:dyDescent="0.25">
      <c r="A21" s="195"/>
      <c r="B21" s="205"/>
      <c r="C21" s="205"/>
      <c r="D21" s="205"/>
      <c r="E21" s="137"/>
      <c r="F21" s="211"/>
      <c r="G21" s="137"/>
      <c r="H21" s="211"/>
    </row>
    <row r="22" spans="1:8" ht="15.75" thickBot="1" x14ac:dyDescent="0.3">
      <c r="A22" s="321"/>
      <c r="B22" s="324"/>
      <c r="C22" s="324"/>
      <c r="D22" s="324"/>
      <c r="E22" s="325" t="s">
        <v>54</v>
      </c>
      <c r="F22" s="326"/>
      <c r="G22" s="208">
        <f>SUM(G9:G21)</f>
        <v>200</v>
      </c>
      <c r="H22" s="326"/>
    </row>
    <row r="23"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5">
    <tabColor rgb="FF0070C0"/>
    <pageSetUpPr fitToPage="1"/>
  </sheetPr>
  <dimension ref="A1:I32"/>
  <sheetViews>
    <sheetView tabSelected="1" topLeftCell="A15"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33.7109375"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09" t="str">
        <f>'RECAP #9425.01'!B1</f>
        <v>HHS STS North Buildings HazMat Survey</v>
      </c>
      <c r="B1" s="109"/>
      <c r="C1" s="179"/>
      <c r="D1" s="179"/>
      <c r="E1" s="179"/>
      <c r="F1" s="180"/>
      <c r="G1" s="180"/>
      <c r="H1" s="181"/>
      <c r="I1" s="181"/>
    </row>
    <row r="2" spans="1:9" ht="15.75" x14ac:dyDescent="0.25">
      <c r="A2" s="126" t="str">
        <f>'RECAP #9425.01'!B2</f>
        <v>Project # 9425.01</v>
      </c>
      <c r="B2" s="182"/>
      <c r="C2" s="179"/>
      <c r="D2" s="179"/>
      <c r="E2" s="179"/>
      <c r="F2" s="180"/>
      <c r="G2" s="180"/>
      <c r="H2" s="181"/>
      <c r="I2" s="181"/>
    </row>
    <row r="3" spans="1:9" ht="15.75" x14ac:dyDescent="0.25">
      <c r="A3" s="183" t="str">
        <f>'RECAP #9425.01'!B3</f>
        <v>Program code 942501</v>
      </c>
      <c r="B3" s="182"/>
      <c r="C3" s="179"/>
      <c r="D3" s="184" t="str">
        <f>'RECAP #9425.01'!E3</f>
        <v>Major Program 4E02</v>
      </c>
      <c r="E3" s="179"/>
      <c r="F3" s="180"/>
      <c r="G3" s="180"/>
      <c r="H3" s="181"/>
      <c r="I3" s="181"/>
    </row>
    <row r="4" spans="1:9" ht="15.75" x14ac:dyDescent="0.25">
      <c r="A4" s="109" t="s">
        <v>216</v>
      </c>
      <c r="B4" s="126"/>
      <c r="C4" s="181"/>
      <c r="D4" s="185" t="s">
        <v>200</v>
      </c>
      <c r="E4" s="180"/>
      <c r="F4" s="180"/>
      <c r="G4" s="180"/>
      <c r="H4" s="181"/>
      <c r="I4" s="181"/>
    </row>
    <row r="5" spans="1:9" ht="15.75" x14ac:dyDescent="0.25">
      <c r="A5" s="186" t="s">
        <v>143</v>
      </c>
      <c r="B5" s="181"/>
      <c r="C5" s="187"/>
      <c r="D5" s="176" t="s">
        <v>201</v>
      </c>
      <c r="E5" s="137"/>
      <c r="F5" s="180"/>
      <c r="G5" s="180"/>
      <c r="H5" s="181"/>
      <c r="I5" s="181"/>
    </row>
    <row r="6" spans="1:9" ht="15.75" x14ac:dyDescent="0.25">
      <c r="A6" s="126" t="str">
        <f>'RECAP #9425.01'!B6</f>
        <v>Project Manager - Jennifer K.</v>
      </c>
      <c r="B6" s="126"/>
      <c r="C6" s="188"/>
      <c r="D6" s="189" t="s">
        <v>146</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181" t="s">
        <v>3</v>
      </c>
    </row>
    <row r="9" spans="1:9" x14ac:dyDescent="0.25">
      <c r="A9" s="195" t="s">
        <v>324</v>
      </c>
      <c r="B9" s="196">
        <v>45611</v>
      </c>
      <c r="C9" s="197" t="s">
        <v>107</v>
      </c>
      <c r="D9" s="198">
        <v>22395</v>
      </c>
      <c r="E9" s="199">
        <f>D9</f>
        <v>22395</v>
      </c>
      <c r="F9" s="200"/>
      <c r="G9" s="200"/>
      <c r="H9" s="200">
        <f>E9</f>
        <v>22395</v>
      </c>
      <c r="I9" s="137"/>
    </row>
    <row r="10" spans="1:9" x14ac:dyDescent="0.25">
      <c r="A10" s="195" t="s">
        <v>673</v>
      </c>
      <c r="B10" s="201">
        <v>45762</v>
      </c>
      <c r="C10" s="197" t="s">
        <v>674</v>
      </c>
      <c r="D10" s="199"/>
      <c r="E10" s="199">
        <f t="shared" ref="E10:E21" si="0">E9+D10</f>
        <v>22395</v>
      </c>
      <c r="F10" s="203">
        <v>5737.5</v>
      </c>
      <c r="G10" s="200">
        <f t="shared" ref="G10:G21" si="1">G9+F10</f>
        <v>5737.5</v>
      </c>
      <c r="H10" s="200">
        <f t="shared" ref="H10:H21" si="2">H9-F10+D10</f>
        <v>16657.5</v>
      </c>
      <c r="I10" s="137"/>
    </row>
    <row r="11" spans="1:9" x14ac:dyDescent="0.25">
      <c r="A11" s="195" t="s">
        <v>898</v>
      </c>
      <c r="B11" s="196">
        <v>45838</v>
      </c>
      <c r="C11" s="197" t="s">
        <v>899</v>
      </c>
      <c r="D11" s="202">
        <v>-10068.75</v>
      </c>
      <c r="E11" s="199">
        <f t="shared" si="0"/>
        <v>12326.25</v>
      </c>
      <c r="F11" s="203">
        <v>6588.75</v>
      </c>
      <c r="G11" s="200">
        <f t="shared" si="1"/>
        <v>12326.25</v>
      </c>
      <c r="H11" s="200">
        <f t="shared" si="2"/>
        <v>0</v>
      </c>
      <c r="I11" s="137"/>
    </row>
    <row r="12" spans="1:9" x14ac:dyDescent="0.25">
      <c r="A12" s="195"/>
      <c r="B12" s="196"/>
      <c r="C12" s="197"/>
      <c r="D12" s="199"/>
      <c r="E12" s="199">
        <f t="shared" si="0"/>
        <v>12326.25</v>
      </c>
      <c r="F12" s="203"/>
      <c r="G12" s="200">
        <f t="shared" si="1"/>
        <v>12326.25</v>
      </c>
      <c r="H12" s="200">
        <f t="shared" si="2"/>
        <v>0</v>
      </c>
      <c r="I12" s="137"/>
    </row>
    <row r="13" spans="1:9" x14ac:dyDescent="0.25">
      <c r="A13" s="195"/>
      <c r="B13" s="196"/>
      <c r="C13" s="197"/>
      <c r="D13" s="199"/>
      <c r="E13" s="199">
        <f t="shared" si="0"/>
        <v>12326.25</v>
      </c>
      <c r="F13" s="203"/>
      <c r="G13" s="200">
        <f t="shared" si="1"/>
        <v>12326.25</v>
      </c>
      <c r="H13" s="200">
        <f t="shared" si="2"/>
        <v>0</v>
      </c>
      <c r="I13" s="137"/>
    </row>
    <row r="14" spans="1:9" x14ac:dyDescent="0.25">
      <c r="A14" s="195"/>
      <c r="B14" s="196"/>
      <c r="C14" s="197"/>
      <c r="D14" s="199"/>
      <c r="E14" s="199">
        <f t="shared" si="0"/>
        <v>12326.25</v>
      </c>
      <c r="F14" s="200"/>
      <c r="G14" s="200">
        <f t="shared" si="1"/>
        <v>12326.25</v>
      </c>
      <c r="H14" s="200">
        <f t="shared" si="2"/>
        <v>0</v>
      </c>
      <c r="I14" s="137"/>
    </row>
    <row r="15" spans="1:9" x14ac:dyDescent="0.25">
      <c r="A15" s="195"/>
      <c r="B15" s="196"/>
      <c r="C15" s="197"/>
      <c r="D15" s="199"/>
      <c r="E15" s="199">
        <f t="shared" si="0"/>
        <v>12326.25</v>
      </c>
      <c r="F15" s="203"/>
      <c r="G15" s="200">
        <f t="shared" si="1"/>
        <v>12326.25</v>
      </c>
      <c r="H15" s="200">
        <f t="shared" si="2"/>
        <v>0</v>
      </c>
      <c r="I15" s="137"/>
    </row>
    <row r="16" spans="1:9" x14ac:dyDescent="0.25">
      <c r="A16" s="195"/>
      <c r="B16" s="196"/>
      <c r="C16" s="197"/>
      <c r="D16" s="199"/>
      <c r="E16" s="199">
        <f t="shared" si="0"/>
        <v>12326.25</v>
      </c>
      <c r="F16" s="203"/>
      <c r="G16" s="200">
        <f t="shared" si="1"/>
        <v>12326.25</v>
      </c>
      <c r="H16" s="200">
        <f t="shared" si="2"/>
        <v>0</v>
      </c>
      <c r="I16" s="137"/>
    </row>
    <row r="17" spans="1:9" x14ac:dyDescent="0.25">
      <c r="A17" s="195"/>
      <c r="B17" s="196"/>
      <c r="C17" s="197"/>
      <c r="D17" s="199"/>
      <c r="E17" s="199">
        <f t="shared" si="0"/>
        <v>12326.25</v>
      </c>
      <c r="F17" s="203"/>
      <c r="G17" s="200">
        <f t="shared" si="1"/>
        <v>12326.25</v>
      </c>
      <c r="H17" s="200">
        <f t="shared" si="2"/>
        <v>0</v>
      </c>
      <c r="I17" s="137"/>
    </row>
    <row r="18" spans="1:9" x14ac:dyDescent="0.25">
      <c r="A18" s="195"/>
      <c r="B18" s="196"/>
      <c r="C18" s="197"/>
      <c r="D18" s="199"/>
      <c r="E18" s="199">
        <f t="shared" si="0"/>
        <v>12326.25</v>
      </c>
      <c r="F18" s="203"/>
      <c r="G18" s="200">
        <f t="shared" si="1"/>
        <v>12326.25</v>
      </c>
      <c r="H18" s="200">
        <f t="shared" si="2"/>
        <v>0</v>
      </c>
      <c r="I18" s="137"/>
    </row>
    <row r="19" spans="1:9" x14ac:dyDescent="0.25">
      <c r="A19" s="195"/>
      <c r="B19" s="196"/>
      <c r="C19" s="197"/>
      <c r="D19" s="199"/>
      <c r="E19" s="199">
        <f t="shared" si="0"/>
        <v>12326.25</v>
      </c>
      <c r="F19" s="200"/>
      <c r="G19" s="200">
        <f t="shared" si="1"/>
        <v>12326.25</v>
      </c>
      <c r="H19" s="200">
        <f t="shared" si="2"/>
        <v>0</v>
      </c>
      <c r="I19" s="137"/>
    </row>
    <row r="20" spans="1:9" x14ac:dyDescent="0.25">
      <c r="A20" s="195"/>
      <c r="B20" s="196"/>
      <c r="C20" s="197"/>
      <c r="D20" s="199"/>
      <c r="E20" s="199">
        <f t="shared" si="0"/>
        <v>12326.25</v>
      </c>
      <c r="F20" s="200"/>
      <c r="G20" s="200">
        <f t="shared" si="1"/>
        <v>12326.25</v>
      </c>
      <c r="H20" s="200">
        <f t="shared" si="2"/>
        <v>0</v>
      </c>
      <c r="I20" s="137"/>
    </row>
    <row r="21" spans="1:9" x14ac:dyDescent="0.25">
      <c r="A21" s="195"/>
      <c r="B21" s="196"/>
      <c r="C21" s="204"/>
      <c r="D21" s="199"/>
      <c r="E21" s="199">
        <f t="shared" si="0"/>
        <v>12326.25</v>
      </c>
      <c r="F21" s="200"/>
      <c r="G21" s="200">
        <f t="shared" si="1"/>
        <v>12326.25</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54</v>
      </c>
      <c r="D23" s="208">
        <f>SUM(D9:D22)</f>
        <v>12326.25</v>
      </c>
      <c r="E23" s="208"/>
      <c r="F23" s="208">
        <f>SUM(F9:F22)</f>
        <v>12326.25</v>
      </c>
      <c r="G23" s="208"/>
      <c r="H23" s="208">
        <f>D23-F23</f>
        <v>0</v>
      </c>
      <c r="I23" s="132" t="s">
        <v>169</v>
      </c>
    </row>
    <row r="24" spans="1:9" ht="15.75" thickTop="1" x14ac:dyDescent="0.25">
      <c r="A24" s="195"/>
      <c r="B24" s="206"/>
      <c r="C24" s="324"/>
      <c r="D24" s="210"/>
      <c r="E24" s="210"/>
      <c r="F24" s="210"/>
      <c r="G24" s="210"/>
      <c r="H24" s="210"/>
      <c r="I24" s="137"/>
    </row>
    <row r="25" spans="1:9" x14ac:dyDescent="0.25">
      <c r="A25" s="195"/>
      <c r="B25" s="206"/>
      <c r="C25" s="324"/>
      <c r="D25" s="210"/>
      <c r="E25" s="210"/>
      <c r="F25" s="210"/>
      <c r="G25" s="210"/>
      <c r="H25" s="210"/>
      <c r="I25" s="137"/>
    </row>
    <row r="26" spans="1:9" x14ac:dyDescent="0.25">
      <c r="A26" s="195"/>
      <c r="B26" s="206"/>
      <c r="C26" s="205" t="s">
        <v>326</v>
      </c>
      <c r="D26" s="200">
        <f>50-50</f>
        <v>0</v>
      </c>
      <c r="E26" s="210"/>
      <c r="F26" s="210"/>
      <c r="G26" s="210"/>
      <c r="H26" s="200">
        <f>SUM(D26-F26)</f>
        <v>0</v>
      </c>
      <c r="I26" s="137"/>
    </row>
    <row r="27" spans="1:9" x14ac:dyDescent="0.25">
      <c r="A27" s="195"/>
      <c r="B27" s="206"/>
      <c r="C27" s="205" t="s">
        <v>325</v>
      </c>
      <c r="D27" s="200">
        <f>75-75</f>
        <v>0</v>
      </c>
      <c r="E27" s="210"/>
      <c r="F27" s="210"/>
      <c r="G27" s="210"/>
      <c r="H27" s="200">
        <f>SUM(D27-F27)</f>
        <v>0</v>
      </c>
      <c r="I27" s="137"/>
    </row>
    <row r="28" spans="1:9" x14ac:dyDescent="0.25">
      <c r="A28" s="195"/>
      <c r="B28" s="197"/>
      <c r="C28" s="205" t="s">
        <v>327</v>
      </c>
      <c r="D28" s="200">
        <f>495-180</f>
        <v>315</v>
      </c>
      <c r="E28" s="200"/>
      <c r="F28" s="200">
        <f>180+135</f>
        <v>315</v>
      </c>
      <c r="G28" s="200"/>
      <c r="H28" s="200">
        <f>SUM(D28-F28)</f>
        <v>0</v>
      </c>
      <c r="I28" s="137"/>
    </row>
    <row r="29" spans="1:9" x14ac:dyDescent="0.25">
      <c r="A29" s="195"/>
      <c r="B29" s="197"/>
      <c r="C29" s="205" t="s">
        <v>556</v>
      </c>
      <c r="D29" s="200">
        <f>9900-5156.25</f>
        <v>4743.75</v>
      </c>
      <c r="E29" s="200"/>
      <c r="F29" s="200">
        <f>712.5+4031.25</f>
        <v>4743.75</v>
      </c>
      <c r="G29" s="200"/>
      <c r="H29" s="200">
        <f>SUM(D29-F29)</f>
        <v>0</v>
      </c>
      <c r="I29" s="137"/>
    </row>
    <row r="30" spans="1:9" x14ac:dyDescent="0.25">
      <c r="A30" s="195"/>
      <c r="B30" s="197"/>
      <c r="C30" s="205" t="s">
        <v>1813</v>
      </c>
      <c r="D30" s="200">
        <f>11875-4607.5</f>
        <v>7267.5</v>
      </c>
      <c r="E30" s="200"/>
      <c r="F30" s="200">
        <f>4845+2422.5</f>
        <v>7267.5</v>
      </c>
      <c r="G30" s="200"/>
      <c r="H30" s="200">
        <f>SUM(D30-F30)</f>
        <v>0</v>
      </c>
      <c r="I30" s="137"/>
    </row>
    <row r="31" spans="1:9" ht="15.75" thickBot="1" x14ac:dyDescent="0.3">
      <c r="A31" s="195"/>
      <c r="B31" s="197"/>
      <c r="C31" s="324" t="s">
        <v>555</v>
      </c>
      <c r="D31" s="208">
        <f>SUM(D26:D30)</f>
        <v>12326.25</v>
      </c>
      <c r="E31" s="210"/>
      <c r="F31" s="208">
        <f>SUM(F26:F30)</f>
        <v>12326.25</v>
      </c>
      <c r="G31" s="210"/>
      <c r="H31" s="208">
        <f>SUM(H26:H30)</f>
        <v>0</v>
      </c>
      <c r="I31" s="137"/>
    </row>
    <row r="32" spans="1:9"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6">
    <tabColor rgb="FF0070C0"/>
    <pageSetUpPr fitToPage="1"/>
  </sheetPr>
  <dimension ref="A1:I24"/>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28515625" customWidth="1"/>
    <col min="4" max="4" width="14.42578125" customWidth="1"/>
    <col min="5" max="5" width="13.5703125" customWidth="1"/>
    <col min="6" max="6" width="12.42578125" customWidth="1"/>
    <col min="7" max="7" width="10.5703125" customWidth="1"/>
    <col min="8" max="8" width="11.7109375" customWidth="1"/>
    <col min="9" max="9" width="12.7109375" customWidth="1"/>
  </cols>
  <sheetData>
    <row r="1" spans="1:9" ht="15.75" x14ac:dyDescent="0.25">
      <c r="A1" s="109" t="str">
        <f>'RECAP #9425.01'!B1</f>
        <v>HHS STS North Buildings HazMat Survey</v>
      </c>
      <c r="B1" s="109"/>
      <c r="C1" s="179"/>
      <c r="D1" s="179"/>
      <c r="E1" s="179"/>
      <c r="F1" s="180"/>
      <c r="G1" s="180"/>
      <c r="H1" s="181"/>
      <c r="I1" s="181"/>
    </row>
    <row r="2" spans="1:9" ht="15.75" x14ac:dyDescent="0.25">
      <c r="A2" s="126" t="str">
        <f>'RECAP #9425.01'!B2</f>
        <v>Project # 9425.01</v>
      </c>
      <c r="B2" s="182"/>
      <c r="C2" s="179"/>
      <c r="D2" s="179"/>
      <c r="E2" s="179"/>
      <c r="F2" s="180"/>
      <c r="G2" s="180"/>
      <c r="H2" s="181"/>
      <c r="I2" s="181"/>
    </row>
    <row r="3" spans="1:9" ht="15.75" x14ac:dyDescent="0.25">
      <c r="A3" s="183" t="str">
        <f>'RECAP #9425.01'!B3</f>
        <v>Program code 942501</v>
      </c>
      <c r="B3" s="182"/>
      <c r="C3" s="179"/>
      <c r="D3" s="184" t="str">
        <f>'RECAP #9425.01'!E3</f>
        <v>Major Program 4E02</v>
      </c>
      <c r="E3" s="179"/>
      <c r="F3" s="180"/>
      <c r="G3" s="180"/>
      <c r="H3" s="181"/>
      <c r="I3" s="181"/>
    </row>
    <row r="4" spans="1:9" ht="15.75" x14ac:dyDescent="0.25">
      <c r="A4" s="109" t="s">
        <v>549</v>
      </c>
      <c r="B4" s="126"/>
      <c r="C4" s="181"/>
      <c r="D4" s="185" t="s">
        <v>550</v>
      </c>
      <c r="E4" s="180"/>
      <c r="F4" s="180"/>
      <c r="G4" s="180"/>
      <c r="H4" s="181"/>
      <c r="I4" s="181"/>
    </row>
    <row r="5" spans="1:9" ht="15.75" x14ac:dyDescent="0.25">
      <c r="A5" s="186" t="s">
        <v>109</v>
      </c>
      <c r="B5" s="181"/>
      <c r="C5" s="187"/>
      <c r="D5" s="176" t="s">
        <v>551</v>
      </c>
      <c r="E5" s="137"/>
      <c r="F5" s="180"/>
      <c r="G5" s="180"/>
      <c r="H5" s="181"/>
      <c r="I5" s="181"/>
    </row>
    <row r="6" spans="1:9" ht="15.75" x14ac:dyDescent="0.25">
      <c r="A6" s="126" t="str">
        <f>'RECAP #9425.01'!B6</f>
        <v>Project Manager - Jennifer K.</v>
      </c>
      <c r="B6" s="126"/>
      <c r="C6" s="188"/>
      <c r="D6" s="189" t="s">
        <v>112</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49</v>
      </c>
      <c r="B8" s="192" t="s">
        <v>4</v>
      </c>
      <c r="C8" s="193" t="s">
        <v>11</v>
      </c>
      <c r="D8" s="194" t="s">
        <v>50</v>
      </c>
      <c r="E8" s="194" t="s">
        <v>51</v>
      </c>
      <c r="F8" s="194" t="s">
        <v>52</v>
      </c>
      <c r="G8" s="194" t="s">
        <v>53</v>
      </c>
      <c r="H8" s="194" t="s">
        <v>12</v>
      </c>
      <c r="I8" s="335" t="s">
        <v>261</v>
      </c>
    </row>
    <row r="9" spans="1:9" x14ac:dyDescent="0.25">
      <c r="A9" s="195" t="s">
        <v>552</v>
      </c>
      <c r="B9" s="196">
        <v>45715</v>
      </c>
      <c r="C9" s="197" t="s">
        <v>107</v>
      </c>
      <c r="D9" s="198">
        <v>73730</v>
      </c>
      <c r="E9" s="199">
        <f>D9</f>
        <v>73730</v>
      </c>
      <c r="F9" s="200"/>
      <c r="G9" s="200"/>
      <c r="H9" s="200">
        <f>E9</f>
        <v>73730</v>
      </c>
      <c r="I9" s="137"/>
    </row>
    <row r="10" spans="1:9" x14ac:dyDescent="0.25">
      <c r="A10" s="195" t="s">
        <v>820</v>
      </c>
      <c r="B10" s="201">
        <v>45813</v>
      </c>
      <c r="C10" s="197" t="s">
        <v>821</v>
      </c>
      <c r="D10" s="199"/>
      <c r="E10" s="199">
        <f t="shared" ref="E10:E21" si="0">E9+D10</f>
        <v>73730</v>
      </c>
      <c r="F10" s="203">
        <v>69093.5</v>
      </c>
      <c r="G10" s="200">
        <f t="shared" ref="G10:G21" si="1">G9+F10</f>
        <v>69093.5</v>
      </c>
      <c r="H10" s="200">
        <f t="shared" ref="H10:H21" si="2">H9-F10+D10</f>
        <v>4636.5</v>
      </c>
      <c r="I10" s="203">
        <f>3636.5</f>
        <v>3636.5</v>
      </c>
    </row>
    <row r="11" spans="1:9" x14ac:dyDescent="0.25">
      <c r="A11" s="195" t="s">
        <v>832</v>
      </c>
      <c r="B11" s="196">
        <v>45818</v>
      </c>
      <c r="C11" s="197" t="s">
        <v>833</v>
      </c>
      <c r="D11" s="199"/>
      <c r="E11" s="199">
        <f t="shared" si="0"/>
        <v>73730</v>
      </c>
      <c r="F11" s="203">
        <v>950</v>
      </c>
      <c r="G11" s="200">
        <f t="shared" si="1"/>
        <v>70043.5</v>
      </c>
      <c r="H11" s="200">
        <f t="shared" si="2"/>
        <v>3686.5</v>
      </c>
      <c r="I11" s="203">
        <f>I10+50</f>
        <v>3686.5</v>
      </c>
    </row>
    <row r="12" spans="1:9" x14ac:dyDescent="0.25">
      <c r="A12" s="195" t="s">
        <v>870</v>
      </c>
      <c r="B12" s="196">
        <v>45831</v>
      </c>
      <c r="C12" s="197" t="s">
        <v>871</v>
      </c>
      <c r="D12" s="199"/>
      <c r="E12" s="199">
        <f t="shared" si="0"/>
        <v>73730</v>
      </c>
      <c r="F12" s="203">
        <v>3686.5</v>
      </c>
      <c r="G12" s="200">
        <f t="shared" si="1"/>
        <v>73730</v>
      </c>
      <c r="H12" s="200">
        <f t="shared" si="2"/>
        <v>0</v>
      </c>
      <c r="I12" s="203"/>
    </row>
    <row r="13" spans="1:9" x14ac:dyDescent="0.25">
      <c r="A13" s="195"/>
      <c r="B13" s="196"/>
      <c r="C13" s="197"/>
      <c r="D13" s="199"/>
      <c r="E13" s="199">
        <f t="shared" si="0"/>
        <v>73730</v>
      </c>
      <c r="F13" s="203"/>
      <c r="G13" s="200">
        <f t="shared" si="1"/>
        <v>73730</v>
      </c>
      <c r="H13" s="200">
        <f t="shared" si="2"/>
        <v>0</v>
      </c>
      <c r="I13" s="203"/>
    </row>
    <row r="14" spans="1:9" x14ac:dyDescent="0.25">
      <c r="A14" s="195"/>
      <c r="B14" s="196"/>
      <c r="C14" s="197"/>
      <c r="D14" s="199"/>
      <c r="E14" s="199">
        <f t="shared" si="0"/>
        <v>73730</v>
      </c>
      <c r="F14" s="200"/>
      <c r="G14" s="200">
        <f t="shared" si="1"/>
        <v>73730</v>
      </c>
      <c r="H14" s="200">
        <f t="shared" si="2"/>
        <v>0</v>
      </c>
      <c r="I14" s="203"/>
    </row>
    <row r="15" spans="1:9" x14ac:dyDescent="0.25">
      <c r="A15" s="195"/>
      <c r="B15" s="196"/>
      <c r="C15" s="197"/>
      <c r="D15" s="199"/>
      <c r="E15" s="199">
        <f t="shared" si="0"/>
        <v>73730</v>
      </c>
      <c r="F15" s="203"/>
      <c r="G15" s="200">
        <f t="shared" si="1"/>
        <v>73730</v>
      </c>
      <c r="H15" s="200">
        <f t="shared" si="2"/>
        <v>0</v>
      </c>
      <c r="I15" s="203"/>
    </row>
    <row r="16" spans="1:9" x14ac:dyDescent="0.25">
      <c r="A16" s="195"/>
      <c r="B16" s="196"/>
      <c r="C16" s="197"/>
      <c r="D16" s="199"/>
      <c r="E16" s="199">
        <f t="shared" si="0"/>
        <v>73730</v>
      </c>
      <c r="F16" s="203"/>
      <c r="G16" s="200">
        <f t="shared" si="1"/>
        <v>73730</v>
      </c>
      <c r="H16" s="200">
        <f t="shared" si="2"/>
        <v>0</v>
      </c>
      <c r="I16" s="203"/>
    </row>
    <row r="17" spans="1:9" x14ac:dyDescent="0.25">
      <c r="A17" s="195"/>
      <c r="B17" s="196"/>
      <c r="C17" s="197"/>
      <c r="D17" s="199"/>
      <c r="E17" s="199">
        <f t="shared" si="0"/>
        <v>73730</v>
      </c>
      <c r="F17" s="203"/>
      <c r="G17" s="200">
        <f t="shared" si="1"/>
        <v>73730</v>
      </c>
      <c r="H17" s="200">
        <f t="shared" si="2"/>
        <v>0</v>
      </c>
      <c r="I17" s="203"/>
    </row>
    <row r="18" spans="1:9" x14ac:dyDescent="0.25">
      <c r="A18" s="195"/>
      <c r="B18" s="196"/>
      <c r="C18" s="197"/>
      <c r="D18" s="199"/>
      <c r="E18" s="199">
        <f t="shared" si="0"/>
        <v>73730</v>
      </c>
      <c r="F18" s="203"/>
      <c r="G18" s="200">
        <f t="shared" si="1"/>
        <v>73730</v>
      </c>
      <c r="H18" s="200">
        <f t="shared" si="2"/>
        <v>0</v>
      </c>
      <c r="I18" s="203"/>
    </row>
    <row r="19" spans="1:9" x14ac:dyDescent="0.25">
      <c r="A19" s="195"/>
      <c r="B19" s="196"/>
      <c r="C19" s="197"/>
      <c r="D19" s="199"/>
      <c r="E19" s="199">
        <f t="shared" si="0"/>
        <v>73730</v>
      </c>
      <c r="F19" s="200"/>
      <c r="G19" s="200">
        <f t="shared" si="1"/>
        <v>73730</v>
      </c>
      <c r="H19" s="200">
        <f t="shared" si="2"/>
        <v>0</v>
      </c>
      <c r="I19" s="203"/>
    </row>
    <row r="20" spans="1:9" x14ac:dyDescent="0.25">
      <c r="A20" s="195"/>
      <c r="B20" s="196"/>
      <c r="C20" s="197"/>
      <c r="D20" s="199"/>
      <c r="E20" s="199">
        <f t="shared" si="0"/>
        <v>73730</v>
      </c>
      <c r="F20" s="200"/>
      <c r="G20" s="200">
        <f t="shared" si="1"/>
        <v>73730</v>
      </c>
      <c r="H20" s="200">
        <f t="shared" si="2"/>
        <v>0</v>
      </c>
      <c r="I20" s="203"/>
    </row>
    <row r="21" spans="1:9" x14ac:dyDescent="0.25">
      <c r="A21" s="195"/>
      <c r="B21" s="196"/>
      <c r="C21" s="204"/>
      <c r="D21" s="199"/>
      <c r="E21" s="199">
        <f t="shared" si="0"/>
        <v>73730</v>
      </c>
      <c r="F21" s="200"/>
      <c r="G21" s="200">
        <f t="shared" si="1"/>
        <v>73730</v>
      </c>
      <c r="H21" s="200">
        <f t="shared" si="2"/>
        <v>0</v>
      </c>
      <c r="I21" s="203"/>
    </row>
    <row r="22" spans="1:9" x14ac:dyDescent="0.25">
      <c r="A22" s="195"/>
      <c r="B22" s="197"/>
      <c r="C22" s="205"/>
      <c r="D22" s="200"/>
      <c r="E22" s="200"/>
      <c r="F22" s="200"/>
      <c r="G22" s="200"/>
      <c r="H22" s="200"/>
      <c r="I22" s="137"/>
    </row>
    <row r="23" spans="1:9" ht="15.75" thickBot="1" x14ac:dyDescent="0.3">
      <c r="A23" s="195"/>
      <c r="B23" s="206"/>
      <c r="C23" s="207" t="s">
        <v>54</v>
      </c>
      <c r="D23" s="208">
        <f>SUM(D9:D22)</f>
        <v>73730</v>
      </c>
      <c r="E23" s="208"/>
      <c r="F23" s="208">
        <f>SUM(F9:F22)</f>
        <v>73730</v>
      </c>
      <c r="G23" s="208"/>
      <c r="H23" s="208">
        <f>D23-F23</f>
        <v>0</v>
      </c>
      <c r="I23" s="132"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7">
    <tabColor rgb="FF0070C0"/>
    <pageSetUpPr fitToPage="1"/>
  </sheetPr>
  <dimension ref="A1:I30"/>
  <sheetViews>
    <sheetView tabSelected="1" zoomScaleNormal="100" workbookViewId="0">
      <selection activeCell="C38" sqref="C3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8" width="10.5703125" customWidth="1"/>
  </cols>
  <sheetData>
    <row r="1" spans="1:9" ht="15.75" x14ac:dyDescent="0.25">
      <c r="A1" s="78" t="str">
        <f>'RECAP #9425.01'!B1</f>
        <v>HHS STS North Buildings HazMat Survey</v>
      </c>
      <c r="B1" s="79"/>
      <c r="C1" s="79"/>
      <c r="D1" s="79"/>
      <c r="E1" s="179"/>
      <c r="F1" s="180"/>
      <c r="G1" s="180"/>
      <c r="H1" s="181"/>
      <c r="I1" s="181"/>
    </row>
    <row r="2" spans="1:9" ht="15.75" x14ac:dyDescent="0.25">
      <c r="A2" s="81" t="str">
        <f>'RECAP #9425.01'!B2</f>
        <v>Project # 9425.01</v>
      </c>
      <c r="B2" s="80"/>
      <c r="C2" s="80"/>
      <c r="D2" s="80"/>
      <c r="E2" s="179"/>
      <c r="F2" s="180"/>
      <c r="G2" s="180"/>
      <c r="H2" s="181"/>
      <c r="I2" s="181"/>
    </row>
    <row r="3" spans="1:9" ht="15.75" x14ac:dyDescent="0.25">
      <c r="A3" s="82" t="str">
        <f>'RECAP #9425.01'!B3</f>
        <v>Program code 942501</v>
      </c>
      <c r="B3" s="80"/>
      <c r="C3" s="80"/>
      <c r="D3" s="80" t="str">
        <f>'RECAP #9425.01'!E3</f>
        <v>Major Program 4E02</v>
      </c>
      <c r="E3" s="6"/>
      <c r="F3" s="180"/>
      <c r="G3" s="180"/>
      <c r="H3" s="181"/>
      <c r="I3" s="181"/>
    </row>
    <row r="4" spans="1:9" ht="15.75" x14ac:dyDescent="0.25">
      <c r="A4" s="186" t="s">
        <v>571</v>
      </c>
      <c r="B4" s="167"/>
      <c r="C4" s="167"/>
      <c r="D4" s="167" t="s">
        <v>115</v>
      </c>
      <c r="E4" s="6"/>
      <c r="F4" s="180"/>
      <c r="G4" s="180"/>
      <c r="H4" s="181"/>
      <c r="I4" s="181"/>
    </row>
    <row r="5" spans="1:9" ht="15.75" x14ac:dyDescent="0.25">
      <c r="A5" s="129" t="s">
        <v>109</v>
      </c>
      <c r="B5" s="181"/>
      <c r="C5" s="187"/>
      <c r="D5" s="176" t="s">
        <v>120</v>
      </c>
      <c r="E5" s="137"/>
      <c r="F5" s="180"/>
      <c r="G5" s="180"/>
      <c r="H5" s="181"/>
      <c r="I5" s="181"/>
    </row>
    <row r="6" spans="1:9" ht="15.75" x14ac:dyDescent="0.25">
      <c r="A6" s="86" t="str">
        <f>'RECAP #9425.01'!B6</f>
        <v>Project Manager - Jennifer K.</v>
      </c>
      <c r="B6" s="126"/>
      <c r="C6" s="188"/>
      <c r="D6" s="377" t="s">
        <v>116</v>
      </c>
      <c r="E6" s="137"/>
      <c r="F6" s="138"/>
      <c r="G6" s="180"/>
      <c r="H6" s="181"/>
      <c r="I6" s="181"/>
    </row>
    <row r="7" spans="1:9" ht="15.75" x14ac:dyDescent="0.25">
      <c r="A7" s="181"/>
      <c r="B7" s="190"/>
      <c r="C7" s="190"/>
      <c r="D7" s="181"/>
      <c r="E7" s="138"/>
      <c r="F7" s="138"/>
      <c r="G7" s="180"/>
      <c r="H7" s="181"/>
      <c r="I7" s="181" t="s">
        <v>3</v>
      </c>
    </row>
    <row r="8" spans="1:9" ht="32.25" thickBot="1" x14ac:dyDescent="0.3">
      <c r="A8" s="140" t="s">
        <v>49</v>
      </c>
      <c r="B8" s="141" t="s">
        <v>4</v>
      </c>
      <c r="C8" s="142" t="s">
        <v>11</v>
      </c>
      <c r="D8" s="143" t="s">
        <v>50</v>
      </c>
      <c r="E8" s="143" t="s">
        <v>51</v>
      </c>
      <c r="F8" s="143" t="s">
        <v>52</v>
      </c>
      <c r="G8" s="143" t="s">
        <v>53</v>
      </c>
      <c r="H8" s="143" t="s">
        <v>12</v>
      </c>
      <c r="I8" s="181" t="s">
        <v>3</v>
      </c>
    </row>
    <row r="9" spans="1:9" x14ac:dyDescent="0.25">
      <c r="A9" s="144" t="s">
        <v>572</v>
      </c>
      <c r="B9" s="145">
        <v>45733</v>
      </c>
      <c r="C9" s="146" t="s">
        <v>107</v>
      </c>
      <c r="D9" s="163">
        <v>17905.439999999999</v>
      </c>
      <c r="E9" s="147">
        <f>D9</f>
        <v>17905.439999999999</v>
      </c>
      <c r="F9" s="148"/>
      <c r="G9" s="148"/>
      <c r="H9" s="148">
        <f>E9</f>
        <v>17905.439999999999</v>
      </c>
      <c r="I9" s="137"/>
    </row>
    <row r="10" spans="1:9" x14ac:dyDescent="0.25">
      <c r="A10" s="144" t="s">
        <v>677</v>
      </c>
      <c r="B10" s="17">
        <v>45762</v>
      </c>
      <c r="C10" s="146" t="s">
        <v>678</v>
      </c>
      <c r="D10" s="163"/>
      <c r="E10" s="147">
        <f t="shared" ref="E10:E21" si="0">E9+D10</f>
        <v>17905.439999999999</v>
      </c>
      <c r="F10" s="165">
        <v>2882.11</v>
      </c>
      <c r="G10" s="148">
        <f t="shared" ref="G10:G21" si="1">G9+F10</f>
        <v>2882.11</v>
      </c>
      <c r="H10" s="148">
        <f t="shared" ref="H10:H21" si="2">H9-F10+D10</f>
        <v>15023.329999999998</v>
      </c>
      <c r="I10" s="137"/>
    </row>
    <row r="11" spans="1:9" x14ac:dyDescent="0.25">
      <c r="A11" s="144" t="s">
        <v>723</v>
      </c>
      <c r="B11" s="145">
        <v>38481</v>
      </c>
      <c r="C11" s="146" t="s">
        <v>724</v>
      </c>
      <c r="D11" s="163"/>
      <c r="E11" s="147">
        <f t="shared" si="0"/>
        <v>17905.439999999999</v>
      </c>
      <c r="F11" s="165">
        <v>10359.39</v>
      </c>
      <c r="G11" s="148">
        <f t="shared" si="1"/>
        <v>13241.5</v>
      </c>
      <c r="H11" s="148">
        <f t="shared" si="2"/>
        <v>4663.9399999999987</v>
      </c>
      <c r="I11" s="137"/>
    </row>
    <row r="12" spans="1:9" x14ac:dyDescent="0.25">
      <c r="A12" s="144" t="s">
        <v>572</v>
      </c>
      <c r="B12" s="145">
        <v>45789</v>
      </c>
      <c r="C12" s="146" t="s">
        <v>742</v>
      </c>
      <c r="D12" s="163">
        <v>0</v>
      </c>
      <c r="E12" s="147">
        <f t="shared" si="0"/>
        <v>17905.439999999999</v>
      </c>
      <c r="F12" s="165"/>
      <c r="G12" s="148">
        <f t="shared" si="1"/>
        <v>13241.5</v>
      </c>
      <c r="H12" s="148">
        <f t="shared" si="2"/>
        <v>4663.9399999999987</v>
      </c>
      <c r="I12" s="137"/>
    </row>
    <row r="13" spans="1:9" x14ac:dyDescent="0.25">
      <c r="A13" s="144" t="s">
        <v>834</v>
      </c>
      <c r="B13" s="145">
        <v>45820</v>
      </c>
      <c r="C13" s="146" t="s">
        <v>835</v>
      </c>
      <c r="D13" s="147"/>
      <c r="E13" s="147">
        <f t="shared" si="0"/>
        <v>17905.439999999999</v>
      </c>
      <c r="F13" s="165">
        <v>3719.21</v>
      </c>
      <c r="G13" s="148">
        <f t="shared" si="1"/>
        <v>16960.71</v>
      </c>
      <c r="H13" s="148">
        <f t="shared" si="2"/>
        <v>944.72999999999865</v>
      </c>
      <c r="I13" s="137"/>
    </row>
    <row r="14" spans="1:9" x14ac:dyDescent="0.25">
      <c r="A14" s="144" t="s">
        <v>949</v>
      </c>
      <c r="B14" s="145">
        <v>45852</v>
      </c>
      <c r="C14" s="146" t="s">
        <v>950</v>
      </c>
      <c r="D14" s="345">
        <v>-98.9</v>
      </c>
      <c r="E14" s="147">
        <f t="shared" si="0"/>
        <v>17806.539999999997</v>
      </c>
      <c r="F14" s="165">
        <v>845.83</v>
      </c>
      <c r="G14" s="148">
        <f t="shared" si="1"/>
        <v>17806.54</v>
      </c>
      <c r="H14" s="148">
        <f t="shared" si="2"/>
        <v>-1.3926637620897964E-12</v>
      </c>
      <c r="I14" s="137"/>
    </row>
    <row r="15" spans="1:9" x14ac:dyDescent="0.25">
      <c r="A15" s="144"/>
      <c r="B15" s="145"/>
      <c r="C15" s="146"/>
      <c r="D15" s="147"/>
      <c r="E15" s="147">
        <f t="shared" si="0"/>
        <v>17806.539999999997</v>
      </c>
      <c r="F15" s="150"/>
      <c r="G15" s="148">
        <f t="shared" si="1"/>
        <v>17806.54</v>
      </c>
      <c r="H15" s="148">
        <f t="shared" si="2"/>
        <v>-1.3926637620897964E-12</v>
      </c>
      <c r="I15" s="137"/>
    </row>
    <row r="16" spans="1:9" x14ac:dyDescent="0.25">
      <c r="A16" s="144"/>
      <c r="B16" s="145"/>
      <c r="C16" s="146"/>
      <c r="D16" s="147"/>
      <c r="E16" s="147">
        <f t="shared" si="0"/>
        <v>17806.539999999997</v>
      </c>
      <c r="F16" s="150"/>
      <c r="G16" s="148">
        <f t="shared" si="1"/>
        <v>17806.54</v>
      </c>
      <c r="H16" s="148">
        <f t="shared" si="2"/>
        <v>-1.3926637620897964E-12</v>
      </c>
      <c r="I16" s="137"/>
    </row>
    <row r="17" spans="1:9" x14ac:dyDescent="0.25">
      <c r="A17" s="144"/>
      <c r="B17" s="145"/>
      <c r="C17" s="146"/>
      <c r="D17" s="147"/>
      <c r="E17" s="147">
        <f t="shared" si="0"/>
        <v>17806.539999999997</v>
      </c>
      <c r="F17" s="150"/>
      <c r="G17" s="148">
        <f t="shared" si="1"/>
        <v>17806.54</v>
      </c>
      <c r="H17" s="148">
        <f t="shared" si="2"/>
        <v>-1.3926637620897964E-12</v>
      </c>
      <c r="I17" s="137"/>
    </row>
    <row r="18" spans="1:9" x14ac:dyDescent="0.25">
      <c r="A18" s="144"/>
      <c r="B18" s="145"/>
      <c r="C18" s="146"/>
      <c r="D18" s="147"/>
      <c r="E18" s="147">
        <f t="shared" si="0"/>
        <v>17806.539999999997</v>
      </c>
      <c r="F18" s="150"/>
      <c r="G18" s="148">
        <f t="shared" si="1"/>
        <v>17806.54</v>
      </c>
      <c r="H18" s="148">
        <f t="shared" si="2"/>
        <v>-1.3926637620897964E-12</v>
      </c>
      <c r="I18" s="137"/>
    </row>
    <row r="19" spans="1:9" x14ac:dyDescent="0.25">
      <c r="A19" s="144"/>
      <c r="B19" s="145"/>
      <c r="C19" s="146"/>
      <c r="D19" s="147"/>
      <c r="E19" s="147">
        <f t="shared" si="0"/>
        <v>17806.539999999997</v>
      </c>
      <c r="F19" s="148"/>
      <c r="G19" s="148">
        <f t="shared" si="1"/>
        <v>17806.54</v>
      </c>
      <c r="H19" s="148">
        <f t="shared" si="2"/>
        <v>-1.3926637620897964E-12</v>
      </c>
      <c r="I19" s="137"/>
    </row>
    <row r="20" spans="1:9" x14ac:dyDescent="0.25">
      <c r="A20" s="144"/>
      <c r="B20" s="145"/>
      <c r="C20" s="146"/>
      <c r="D20" s="147"/>
      <c r="E20" s="147">
        <f t="shared" si="0"/>
        <v>17806.539999999997</v>
      </c>
      <c r="F20" s="148"/>
      <c r="G20" s="148">
        <f t="shared" si="1"/>
        <v>17806.54</v>
      </c>
      <c r="H20" s="148">
        <f t="shared" si="2"/>
        <v>-1.3926637620897964E-12</v>
      </c>
      <c r="I20" s="137"/>
    </row>
    <row r="21" spans="1:9" x14ac:dyDescent="0.25">
      <c r="A21" s="144"/>
      <c r="B21" s="145"/>
      <c r="C21" s="151"/>
      <c r="D21" s="147"/>
      <c r="E21" s="147">
        <f t="shared" si="0"/>
        <v>17806.539999999997</v>
      </c>
      <c r="F21" s="148"/>
      <c r="G21" s="148">
        <f t="shared" si="1"/>
        <v>17806.54</v>
      </c>
      <c r="H21" s="148">
        <f t="shared" si="2"/>
        <v>-1.3926637620897964E-12</v>
      </c>
      <c r="I21" s="137"/>
    </row>
    <row r="22" spans="1:9" x14ac:dyDescent="0.25">
      <c r="A22" s="144"/>
      <c r="B22" s="146"/>
      <c r="C22" s="152"/>
      <c r="D22" s="148"/>
      <c r="E22" s="148"/>
      <c r="F22" s="148"/>
      <c r="G22" s="148"/>
      <c r="H22" s="148"/>
      <c r="I22" s="137"/>
    </row>
    <row r="23" spans="1:9" ht="15.75" thickBot="1" x14ac:dyDescent="0.3">
      <c r="A23" s="144"/>
      <c r="B23" s="153"/>
      <c r="C23" s="154" t="s">
        <v>54</v>
      </c>
      <c r="D23" s="123">
        <f>SUM(D9:D22)</f>
        <v>17806.539999999997</v>
      </c>
      <c r="E23" s="123"/>
      <c r="F23" s="123">
        <f>SUM(F9:F22)</f>
        <v>17806.54</v>
      </c>
      <c r="G23" s="123"/>
      <c r="H23" s="123">
        <f>D23-F23</f>
        <v>0</v>
      </c>
      <c r="I23" s="132" t="s">
        <v>169</v>
      </c>
    </row>
    <row r="24" spans="1:9" ht="15.75" thickTop="1" x14ac:dyDescent="0.25">
      <c r="A24" s="144"/>
      <c r="B24" s="146"/>
      <c r="C24" s="152"/>
      <c r="D24" s="148"/>
      <c r="E24" s="148"/>
      <c r="F24" s="148"/>
      <c r="G24" s="148"/>
      <c r="H24" s="148"/>
      <c r="I24" s="137"/>
    </row>
    <row r="25" spans="1:9" x14ac:dyDescent="0.25">
      <c r="A25" s="144"/>
      <c r="B25" s="146"/>
      <c r="C25" s="152"/>
      <c r="D25" s="148"/>
      <c r="E25" s="148"/>
      <c r="F25" s="148"/>
      <c r="G25" s="148"/>
      <c r="H25" s="148"/>
      <c r="I25" s="137"/>
    </row>
    <row r="26" spans="1:9" x14ac:dyDescent="0.25">
      <c r="A26" s="144"/>
      <c r="B26" s="146"/>
      <c r="C26" s="152" t="s">
        <v>192</v>
      </c>
      <c r="D26" s="148">
        <f>17185.44-640-98.9</f>
        <v>16446.539999999997</v>
      </c>
      <c r="E26" s="148"/>
      <c r="F26" s="148">
        <f>2642.11+9879.39+3719.21+304.73-98.9</f>
        <v>16446.539999999997</v>
      </c>
      <c r="G26" s="148"/>
      <c r="H26" s="148">
        <f>D26-F26</f>
        <v>0</v>
      </c>
      <c r="I26" s="137"/>
    </row>
    <row r="27" spans="1:9" x14ac:dyDescent="0.25">
      <c r="A27" s="144"/>
      <c r="B27" s="146"/>
      <c r="C27" s="152" t="s">
        <v>118</v>
      </c>
      <c r="D27" s="148">
        <f>720+640</f>
        <v>1360</v>
      </c>
      <c r="E27" s="148"/>
      <c r="F27" s="148">
        <f>240+480+640</f>
        <v>1360</v>
      </c>
      <c r="G27" s="148"/>
      <c r="H27" s="148">
        <f>D27-F27</f>
        <v>0</v>
      </c>
      <c r="I27" s="137"/>
    </row>
    <row r="28" spans="1:9" ht="27.6" customHeight="1" x14ac:dyDescent="0.25">
      <c r="A28" s="144"/>
      <c r="B28" s="146"/>
      <c r="C28" s="378" t="s">
        <v>741</v>
      </c>
      <c r="D28" s="148">
        <v>0</v>
      </c>
      <c r="E28" s="148"/>
      <c r="F28" s="148">
        <v>0</v>
      </c>
      <c r="G28" s="148"/>
      <c r="H28" s="148">
        <v>0</v>
      </c>
      <c r="I28" s="137"/>
    </row>
    <row r="29" spans="1:9" ht="15.75" thickBot="1" x14ac:dyDescent="0.3">
      <c r="A29" s="144"/>
      <c r="B29" s="146"/>
      <c r="C29" s="173" t="s">
        <v>555</v>
      </c>
      <c r="D29" s="123">
        <f>SUM(D26:D27)</f>
        <v>17806.539999999997</v>
      </c>
      <c r="E29" s="178"/>
      <c r="F29" s="123">
        <f>SUM(F26:F27)</f>
        <v>17806.539999999997</v>
      </c>
      <c r="G29" s="178"/>
      <c r="H29" s="123">
        <f>SUM(H26:H27)</f>
        <v>0</v>
      </c>
      <c r="I29" s="137"/>
    </row>
    <row r="30"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8">
    <pageSetUpPr fitToPage="1"/>
  </sheetPr>
  <dimension ref="A1:G39"/>
  <sheetViews>
    <sheetView tabSelected="1" topLeftCell="A8" zoomScaleNormal="100" workbookViewId="0">
      <selection activeCell="C38" sqref="C38"/>
    </sheetView>
  </sheetViews>
  <sheetFormatPr defaultColWidth="11.42578125" defaultRowHeight="15" customHeight="1" x14ac:dyDescent="0.25"/>
  <cols>
    <col min="1" max="1" width="3.5703125" customWidth="1"/>
    <col min="2" max="2" width="28"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80</v>
      </c>
      <c r="C1" s="79"/>
      <c r="D1" s="6"/>
      <c r="E1" s="6"/>
      <c r="F1" s="6"/>
      <c r="G1" s="6"/>
    </row>
    <row r="2" spans="1:7" ht="15.75" x14ac:dyDescent="0.25">
      <c r="A2" s="77"/>
      <c r="B2" s="81" t="s">
        <v>81</v>
      </c>
      <c r="C2" s="80"/>
      <c r="D2" s="6"/>
      <c r="E2" s="6"/>
      <c r="F2" s="6"/>
      <c r="G2" s="6"/>
    </row>
    <row r="3" spans="1:7" ht="15.75" x14ac:dyDescent="0.25">
      <c r="A3" s="77"/>
      <c r="B3" s="82" t="s">
        <v>82</v>
      </c>
      <c r="C3" s="80"/>
      <c r="D3" s="6"/>
      <c r="E3" s="83" t="s">
        <v>78</v>
      </c>
      <c r="F3" s="6"/>
      <c r="G3" s="6"/>
    </row>
    <row r="4" spans="1:7" ht="15.75" x14ac:dyDescent="0.25">
      <c r="A4" s="77"/>
      <c r="B4" s="84" t="s">
        <v>36</v>
      </c>
      <c r="C4" s="85" t="s">
        <v>3</v>
      </c>
      <c r="D4" s="6"/>
      <c r="E4" s="6"/>
      <c r="F4" s="6"/>
      <c r="G4" s="6"/>
    </row>
    <row r="5" spans="1:7" ht="15.75" x14ac:dyDescent="0.25">
      <c r="A5" s="77"/>
      <c r="B5" s="86" t="s">
        <v>64</v>
      </c>
      <c r="C5" s="80"/>
      <c r="D5" s="6"/>
      <c r="E5" s="6"/>
      <c r="F5" s="6"/>
      <c r="G5" s="6"/>
    </row>
    <row r="6" spans="1:7" ht="15.75" x14ac:dyDescent="0.25">
      <c r="A6" s="77"/>
      <c r="B6" s="86" t="s">
        <v>94</v>
      </c>
      <c r="C6" s="87"/>
      <c r="D6" s="88" t="s">
        <v>3</v>
      </c>
      <c r="E6" s="6"/>
      <c r="F6" s="6"/>
      <c r="G6" s="6"/>
    </row>
    <row r="7" spans="1:7" ht="33" customHeight="1" thickBot="1" x14ac:dyDescent="0.3">
      <c r="A7" s="77"/>
      <c r="B7" s="89" t="s">
        <v>3</v>
      </c>
      <c r="C7" s="90" t="s">
        <v>0</v>
      </c>
      <c r="D7" s="91" t="s">
        <v>1</v>
      </c>
      <c r="E7" s="92" t="s">
        <v>2</v>
      </c>
      <c r="F7" s="93" t="s">
        <v>37</v>
      </c>
      <c r="G7" s="93" t="s">
        <v>38</v>
      </c>
    </row>
    <row r="8" spans="1:7" ht="28.35" customHeight="1" x14ac:dyDescent="0.25">
      <c r="A8" s="77"/>
      <c r="B8" s="80" t="s">
        <v>39</v>
      </c>
      <c r="C8" s="94">
        <f>'#9429.00 Funds Recv''d'!H24</f>
        <v>33018000</v>
      </c>
      <c r="D8" s="95"/>
      <c r="E8" s="95"/>
      <c r="F8" s="95"/>
      <c r="G8" s="96"/>
    </row>
    <row r="9" spans="1:7" s="330" customFormat="1" ht="12.75" customHeight="1" x14ac:dyDescent="0.25">
      <c r="A9" s="473"/>
      <c r="B9" s="474"/>
      <c r="C9" s="521"/>
      <c r="D9" s="476"/>
      <c r="E9" s="476"/>
      <c r="F9" s="476"/>
      <c r="G9" s="477"/>
    </row>
    <row r="10" spans="1:7" s="330" customFormat="1" ht="12.75" customHeight="1" x14ac:dyDescent="0.25">
      <c r="A10" s="478"/>
      <c r="B10" s="474" t="s">
        <v>193</v>
      </c>
      <c r="C10" s="475"/>
      <c r="D10" s="479">
        <f>'#9429.00 OPN Architects'!D23</f>
        <v>45000</v>
      </c>
      <c r="E10" s="479">
        <f>'#9429.00 OPN Architects'!F23</f>
        <v>18000</v>
      </c>
      <c r="F10" s="479">
        <f>'#9429.00 OPN Architects'!H23</f>
        <v>27000</v>
      </c>
      <c r="G10" s="477"/>
    </row>
    <row r="11" spans="1:7" s="330" customFormat="1" ht="12.75" customHeight="1" x14ac:dyDescent="0.25">
      <c r="A11" s="473"/>
      <c r="B11" s="474" t="s">
        <v>41</v>
      </c>
      <c r="C11" s="475"/>
      <c r="D11" s="479">
        <f>'#9429.00 PM TIME'!E38</f>
        <v>400000</v>
      </c>
      <c r="E11" s="479">
        <f>'#9429.00 PM TIME'!G38</f>
        <v>154793.09999999998</v>
      </c>
      <c r="F11" s="479">
        <f>'#9429.00 PM TIME'!I38</f>
        <v>245206.90000000002</v>
      </c>
      <c r="G11" s="477"/>
    </row>
    <row r="12" spans="1:7" s="330" customFormat="1" ht="12.75" customHeight="1" x14ac:dyDescent="0.25">
      <c r="A12" s="473"/>
      <c r="B12" s="474" t="s">
        <v>42</v>
      </c>
      <c r="C12" s="476"/>
      <c r="D12" s="463">
        <f>'#9429.00 Misc'!G36</f>
        <v>100809.23</v>
      </c>
      <c r="E12" s="463">
        <f>'#9429.00 Misc'!G36</f>
        <v>100809.23</v>
      </c>
      <c r="F12" s="479">
        <f>D12-E12</f>
        <v>0</v>
      </c>
      <c r="G12" s="477"/>
    </row>
    <row r="13" spans="1:7" s="330" customFormat="1" ht="12.75" customHeight="1" x14ac:dyDescent="0.25">
      <c r="A13" s="473"/>
      <c r="B13" s="474" t="s">
        <v>295</v>
      </c>
      <c r="C13" s="476"/>
      <c r="D13" s="463">
        <f>'#9429.00 OPN Architects (2)'!D30</f>
        <v>1680303</v>
      </c>
      <c r="E13" s="463">
        <f>'#9429.00 OPN Architects (2)'!F30</f>
        <v>1679303</v>
      </c>
      <c r="F13" s="479">
        <f>'#9429.00 OPN Architects (2)'!H30</f>
        <v>1000</v>
      </c>
      <c r="G13" s="477"/>
    </row>
    <row r="14" spans="1:7" s="330" customFormat="1" ht="12.75" customHeight="1" x14ac:dyDescent="0.25">
      <c r="A14" s="473"/>
      <c r="B14" s="474" t="s">
        <v>310</v>
      </c>
      <c r="C14" s="476"/>
      <c r="D14" s="463">
        <f>'#9429.00 Weitz Company'!D26</f>
        <v>214910</v>
      </c>
      <c r="E14" s="463">
        <f>'#9429.00 Weitz Company'!F26</f>
        <v>208670</v>
      </c>
      <c r="F14" s="479">
        <f>'#9429.00 Weitz Company'!H26</f>
        <v>6240</v>
      </c>
      <c r="G14" s="477"/>
    </row>
    <row r="15" spans="1:7" s="330" customFormat="1" ht="12.75" customHeight="1" x14ac:dyDescent="0.25">
      <c r="A15" s="478" t="s">
        <v>170</v>
      </c>
      <c r="B15" s="474" t="s">
        <v>700</v>
      </c>
      <c r="C15" s="476"/>
      <c r="D15" s="463">
        <f>'#9429.00 Terracon Consultants'!D23</f>
        <v>18152.75</v>
      </c>
      <c r="E15" s="463">
        <f>'#9429.00 Terracon Consultants'!F23</f>
        <v>18152.75</v>
      </c>
      <c r="F15" s="479">
        <f>'#9429.00 Terracon Consultants'!H23</f>
        <v>0</v>
      </c>
      <c r="G15" s="477"/>
    </row>
    <row r="16" spans="1:7" s="330" customFormat="1" ht="12.75" customHeight="1" x14ac:dyDescent="0.25">
      <c r="A16" s="478" t="s">
        <v>170</v>
      </c>
      <c r="B16" s="474" t="s">
        <v>705</v>
      </c>
      <c r="C16" s="476"/>
      <c r="D16" s="463">
        <f>'#9429.00 Terracon Consultan (2)'!D23</f>
        <v>6046.25</v>
      </c>
      <c r="E16" s="463">
        <f>'#9429.00 Terracon Consultan (2)'!F23</f>
        <v>6046.25</v>
      </c>
      <c r="F16" s="479">
        <f>'#9429.00 Terracon Consultan (2)'!H23</f>
        <v>0</v>
      </c>
      <c r="G16" s="477"/>
    </row>
    <row r="17" spans="1:7" s="330" customFormat="1" ht="12.75" customHeight="1" x14ac:dyDescent="0.25">
      <c r="A17" s="473"/>
      <c r="B17" s="474" t="s">
        <v>1100</v>
      </c>
      <c r="C17" s="476"/>
      <c r="D17" s="463">
        <f>'#9429.00 Jaeger Corporation '!D23</f>
        <v>2900</v>
      </c>
      <c r="E17" s="463">
        <f>'#9429.00 Jaeger Corporation '!F23</f>
        <v>0</v>
      </c>
      <c r="F17" s="479">
        <f>'#9429.00 Jaeger Corporation '!H23</f>
        <v>2900</v>
      </c>
      <c r="G17" s="477"/>
    </row>
    <row r="18" spans="1:7" s="330" customFormat="1" ht="12.75" customHeight="1" x14ac:dyDescent="0.25">
      <c r="A18" s="473"/>
      <c r="B18" s="474" t="s">
        <v>379</v>
      </c>
      <c r="C18" s="476"/>
      <c r="D18" s="463">
        <f>'#9429.00 SystemWorks'!D23</f>
        <v>88040</v>
      </c>
      <c r="E18" s="463">
        <f>'#9429.00 SystemWorks'!F23</f>
        <v>5670</v>
      </c>
      <c r="F18" s="479">
        <f>'#9429.00 SystemWorks'!H23</f>
        <v>82370</v>
      </c>
      <c r="G18" s="477"/>
    </row>
    <row r="19" spans="1:7" s="330" customFormat="1" ht="12.75" customHeight="1" x14ac:dyDescent="0.25">
      <c r="A19" s="473"/>
      <c r="B19" s="474" t="s">
        <v>1550</v>
      </c>
      <c r="C19" s="476"/>
      <c r="D19" s="463">
        <f>'#9429.00 OPN Architects (3)'!D28</f>
        <v>774000</v>
      </c>
      <c r="E19" s="463">
        <f>'#9429.00 OPN Architects (3)'!F28</f>
        <v>53406</v>
      </c>
      <c r="F19" s="479">
        <f>'#9429.00 OPN Architects (3)'!H28</f>
        <v>720594</v>
      </c>
      <c r="G19" s="477"/>
    </row>
    <row r="20" spans="1:7" s="330" customFormat="1" ht="12.75" customHeight="1" x14ac:dyDescent="0.25">
      <c r="A20" s="473"/>
      <c r="B20" s="474" t="s">
        <v>1564</v>
      </c>
      <c r="C20" s="476"/>
      <c r="D20" s="463">
        <f>'#9429.00 Core Construction'!D28</f>
        <v>890000</v>
      </c>
      <c r="E20" s="463">
        <f>'#9429.00 Core Construction'!F28</f>
        <v>7237.17</v>
      </c>
      <c r="F20" s="479">
        <f>'#9429.00 Core Construction'!H28</f>
        <v>882762.83</v>
      </c>
      <c r="G20" s="477"/>
    </row>
    <row r="21" spans="1:7" s="330" customFormat="1" ht="12.75" customHeight="1" x14ac:dyDescent="0.25">
      <c r="A21" s="473"/>
      <c r="B21" s="474" t="s">
        <v>1571</v>
      </c>
      <c r="C21" s="476"/>
      <c r="D21" s="463">
        <f>'#9429.00 Core Construction (2)'!D28</f>
        <v>1386500</v>
      </c>
      <c r="E21" s="463">
        <f>'#9429.00 Core Construction (2)'!F28</f>
        <v>10961</v>
      </c>
      <c r="F21" s="479">
        <f>'#9429.00 Core Construction (2)'!H28</f>
        <v>1375539</v>
      </c>
      <c r="G21" s="477"/>
    </row>
    <row r="22" spans="1:7" s="330" customFormat="1" ht="12.75" customHeight="1" x14ac:dyDescent="0.25">
      <c r="A22" s="473"/>
      <c r="B22" s="474" t="s">
        <v>1572</v>
      </c>
      <c r="C22" s="476"/>
      <c r="D22" s="463">
        <f>'#9429.00 Seedorff Masonry'!D28</f>
        <v>529700</v>
      </c>
      <c r="E22" s="463">
        <f>'#9429.00 Seedorff Masonry'!F28</f>
        <v>0</v>
      </c>
      <c r="F22" s="479">
        <f>'#9429.00 Seedorff Masonry'!H28</f>
        <v>529700</v>
      </c>
      <c r="G22" s="477"/>
    </row>
    <row r="23" spans="1:7" s="330" customFormat="1" ht="12.75" customHeight="1" x14ac:dyDescent="0.25">
      <c r="A23" s="473"/>
      <c r="B23" s="474" t="s">
        <v>1575</v>
      </c>
      <c r="C23" s="476"/>
      <c r="D23" s="463">
        <f>'#9429.00 US Erectors'!D28</f>
        <v>1095100</v>
      </c>
      <c r="E23" s="463">
        <f>'#9429.00 US Erectors'!F28</f>
        <v>0</v>
      </c>
      <c r="F23" s="479">
        <f>'#9429.00 US Erectors'!H28</f>
        <v>1095100</v>
      </c>
      <c r="G23" s="477"/>
    </row>
    <row r="24" spans="1:7" s="330" customFormat="1" ht="12.75" customHeight="1" x14ac:dyDescent="0.25">
      <c r="A24" s="473"/>
      <c r="B24" s="474" t="s">
        <v>1579</v>
      </c>
      <c r="C24" s="476"/>
      <c r="D24" s="463">
        <f>'#9429.00 Breiholz Construction'!D28</f>
        <v>6227600</v>
      </c>
      <c r="E24" s="463">
        <f>'#9429.00 Breiholz Construction'!F28</f>
        <v>58959.51</v>
      </c>
      <c r="F24" s="479">
        <f>'#9429.00 Breiholz Construction'!H28</f>
        <v>6168640.4900000002</v>
      </c>
      <c r="G24" s="477"/>
    </row>
    <row r="25" spans="1:7" s="330" customFormat="1" ht="12.75" customHeight="1" x14ac:dyDescent="0.25">
      <c r="A25" s="473"/>
      <c r="B25" s="474" t="s">
        <v>1583</v>
      </c>
      <c r="C25" s="476"/>
      <c r="D25" s="463">
        <f>'#9429.00 Bailey Roofing'!D28</f>
        <v>307100</v>
      </c>
      <c r="E25" s="463">
        <f>'#9429.00 Bailey Roofing'!F28</f>
        <v>0</v>
      </c>
      <c r="F25" s="479">
        <f>'#9429.00 Bailey Roofing'!H28</f>
        <v>307100</v>
      </c>
      <c r="G25" s="477"/>
    </row>
    <row r="26" spans="1:7" s="330" customFormat="1" ht="12.75" customHeight="1" x14ac:dyDescent="0.25">
      <c r="A26" s="473"/>
      <c r="B26" s="474" t="s">
        <v>1586</v>
      </c>
      <c r="C26" s="476"/>
      <c r="D26" s="463">
        <f>'#9429.00 Elite Glass and Metal'!D28</f>
        <v>775000</v>
      </c>
      <c r="E26" s="463">
        <f>'#9429.00 Elite Glass and Metal'!F28</f>
        <v>0</v>
      </c>
      <c r="F26" s="479">
        <f>'#9429.00 Elite Glass and Metal'!H28</f>
        <v>775000</v>
      </c>
      <c r="G26" s="477"/>
    </row>
    <row r="27" spans="1:7" s="330" customFormat="1" ht="12.75" customHeight="1" x14ac:dyDescent="0.25">
      <c r="A27" s="473"/>
      <c r="B27" s="474" t="s">
        <v>817</v>
      </c>
      <c r="C27" s="476"/>
      <c r="D27" s="463">
        <f>'#9429.00 VanMaanen Electric'!D28</f>
        <v>2684856.67</v>
      </c>
      <c r="E27" s="463">
        <f>'#9429.00 VanMaanen Electric'!F28</f>
        <v>0</v>
      </c>
      <c r="F27" s="479">
        <f>'#9429.00 VanMaanen Electric'!H28</f>
        <v>2684856.67</v>
      </c>
      <c r="G27" s="477"/>
    </row>
    <row r="28" spans="1:7" s="330" customFormat="1" ht="12.75" customHeight="1" x14ac:dyDescent="0.25">
      <c r="A28" s="473"/>
      <c r="B28" s="474" t="s">
        <v>1590</v>
      </c>
      <c r="C28" s="476"/>
      <c r="D28" s="463">
        <f>'#9429.00 SGH Concepts'!D28</f>
        <v>606723</v>
      </c>
      <c r="E28" s="463">
        <f>'#9429.00 SGH Concepts'!F28</f>
        <v>64023.88</v>
      </c>
      <c r="F28" s="479">
        <f>'#9429.00 SGH Concepts'!H28</f>
        <v>542699.12</v>
      </c>
      <c r="G28" s="477"/>
    </row>
    <row r="29" spans="1:7" s="330" customFormat="1" ht="12.75" customHeight="1" x14ac:dyDescent="0.25">
      <c r="A29" s="473"/>
      <c r="B29" s="474" t="s">
        <v>1595</v>
      </c>
      <c r="C29" s="476"/>
      <c r="D29" s="463">
        <f>'#9429.00 Veit &amp; Company'!D28</f>
        <v>1280500</v>
      </c>
      <c r="E29" s="463">
        <f>'#9429.00 Veit &amp; Company'!F28</f>
        <v>0</v>
      </c>
      <c r="F29" s="479">
        <f>'#9429.00 Veit &amp; Company'!H28</f>
        <v>1280500</v>
      </c>
      <c r="G29" s="477"/>
    </row>
    <row r="30" spans="1:7" s="330" customFormat="1" ht="12.75" customHeight="1" x14ac:dyDescent="0.25">
      <c r="A30" s="473"/>
      <c r="B30" s="474" t="s">
        <v>1603</v>
      </c>
      <c r="C30" s="476"/>
      <c r="D30" s="463">
        <f>'#9429.00 Grazzini Brothers'!D28</f>
        <v>403200</v>
      </c>
      <c r="E30" s="463">
        <f>'#9429.00 Grazzini Brothers'!F28</f>
        <v>0</v>
      </c>
      <c r="F30" s="479">
        <f>'#9429.00 Grazzini Brothers'!H28</f>
        <v>403200</v>
      </c>
      <c r="G30" s="477"/>
    </row>
    <row r="31" spans="1:7" s="330" customFormat="1" ht="12.75" customHeight="1" x14ac:dyDescent="0.25">
      <c r="A31" s="473"/>
      <c r="B31" s="474" t="s">
        <v>1606</v>
      </c>
      <c r="C31" s="476"/>
      <c r="D31" s="463">
        <f>'#9429.00 JF Ahern'!D28</f>
        <v>177596</v>
      </c>
      <c r="E31" s="463">
        <f>'#9429.00 JF Ahern'!F28</f>
        <v>6020.79</v>
      </c>
      <c r="F31" s="479">
        <f>'#9429.00 JF Ahern'!H28</f>
        <v>171575.21</v>
      </c>
      <c r="G31" s="477"/>
    </row>
    <row r="32" spans="1:7" s="330" customFormat="1" ht="12.75" customHeight="1" x14ac:dyDescent="0.25">
      <c r="A32" s="473"/>
      <c r="B32" s="474" t="s">
        <v>1608</v>
      </c>
      <c r="C32" s="476"/>
      <c r="D32" s="463">
        <f>'#9429.00 Andersen Construction '!D28</f>
        <v>7581200</v>
      </c>
      <c r="E32" s="463">
        <f>'#9429.00 Andersen Construction '!F28</f>
        <v>0</v>
      </c>
      <c r="F32" s="479">
        <f>'#9429.00 Andersen Construction '!H28</f>
        <v>7581200</v>
      </c>
      <c r="G32" s="477"/>
    </row>
    <row r="33" spans="1:7" s="330" customFormat="1" ht="12.75" customHeight="1" x14ac:dyDescent="0.25">
      <c r="A33" s="473"/>
      <c r="B33" s="474" t="s">
        <v>1653</v>
      </c>
      <c r="C33" s="476"/>
      <c r="D33" s="463">
        <f>'#9429.00 Conference Technologie'!D28</f>
        <v>140893.93</v>
      </c>
      <c r="E33" s="463">
        <f>'#9429.00 Conference Technologie'!F28</f>
        <v>0</v>
      </c>
      <c r="F33" s="479">
        <f>'#9429.00 Conference Technologie'!H28</f>
        <v>140893.93</v>
      </c>
      <c r="G33" s="477"/>
    </row>
    <row r="34" spans="1:7" s="330" customFormat="1" ht="12.75" customHeight="1" x14ac:dyDescent="0.25">
      <c r="A34" s="473"/>
      <c r="B34" s="474" t="s">
        <v>1674</v>
      </c>
      <c r="C34" s="476"/>
      <c r="D34" s="463">
        <f>'#9429.00 Weitz Company (2)'!D26</f>
        <v>3029827</v>
      </c>
      <c r="E34" s="463">
        <f>'#9429.00 Weitz Company (2)'!F26</f>
        <v>98888.11</v>
      </c>
      <c r="F34" s="479">
        <f>'#9429.00 Weitz Company (2)'!H26</f>
        <v>2930938.89</v>
      </c>
      <c r="G34" s="477"/>
    </row>
    <row r="35" spans="1:7" s="330" customFormat="1" ht="12.75" customHeight="1" x14ac:dyDescent="0.25">
      <c r="A35" s="473"/>
      <c r="B35" s="474" t="s">
        <v>1736</v>
      </c>
      <c r="C35" s="476"/>
      <c r="D35" s="463">
        <f>'#9429.00 Terracon Consultants 3'!D26</f>
        <v>40885</v>
      </c>
      <c r="E35" s="463">
        <f>'#9429.00 Terracon Consultants 3'!F26</f>
        <v>0</v>
      </c>
      <c r="F35" s="479">
        <f>'#9429.00 Terracon Consultants 3'!H26</f>
        <v>40885</v>
      </c>
      <c r="G35" s="477"/>
    </row>
    <row r="36" spans="1:7" s="330" customFormat="1" ht="12.75" customHeight="1" x14ac:dyDescent="0.25">
      <c r="A36" s="473"/>
      <c r="B36" s="474" t="s">
        <v>1773</v>
      </c>
      <c r="C36" s="476"/>
      <c r="D36" s="463">
        <f>'#9429.00 All Makes-Furniture'!D26</f>
        <v>209612.28</v>
      </c>
      <c r="E36" s="463">
        <f>'#9429.00 All Makes-Furniture'!F26</f>
        <v>0</v>
      </c>
      <c r="F36" s="479">
        <f>'#9429.00 All Makes-Furniture'!H26</f>
        <v>209612.28</v>
      </c>
      <c r="G36" s="477"/>
    </row>
    <row r="37" spans="1:7" s="330" customFormat="1" ht="12.75" customHeight="1" x14ac:dyDescent="0.25">
      <c r="A37" s="473"/>
      <c r="B37" s="474"/>
      <c r="C37" s="476"/>
      <c r="D37" s="463"/>
      <c r="E37" s="463"/>
      <c r="F37" s="479"/>
      <c r="G37" s="477"/>
    </row>
    <row r="38" spans="1:7" ht="24" customHeight="1" thickBot="1" x14ac:dyDescent="0.3">
      <c r="A38" s="100"/>
      <c r="B38" s="101" t="s">
        <v>43</v>
      </c>
      <c r="C38" s="102">
        <f>SUM(C8:C37)</f>
        <v>33018000</v>
      </c>
      <c r="D38" s="102">
        <f>SUM(D8:D37)</f>
        <v>30696455.109999999</v>
      </c>
      <c r="E38" s="102">
        <f>SUM(E8:E37)</f>
        <v>2490940.7899999996</v>
      </c>
      <c r="F38" s="102">
        <f>SUM(D38-E38)</f>
        <v>28205514.32</v>
      </c>
      <c r="G38" s="102">
        <f>C8-D38</f>
        <v>2321544.8900000006</v>
      </c>
    </row>
    <row r="39" spans="1:7" ht="15" customHeight="1" thickTop="1" x14ac:dyDescent="0.25"/>
  </sheetData>
  <pageMargins left="0.25" right="0.25" top="0.85" bottom="0.75" header="0.08" footer="0.3"/>
  <pageSetup scale="87" orientation="portrait" r:id="rId1"/>
  <headerFooter alignWithMargins="0">
    <oddHeader>&amp;CDepartment of Administrative Services
MOU Project Improvements DA25
&amp;A
&amp;D</oddHeader>
    <oddFooter>&amp;LAcct Codes 0506-335-DA25
&amp;C&amp;Z&amp;F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195</vt:i4>
      </vt:variant>
      <vt:variant>
        <vt:lpstr>Named Ranges</vt:lpstr>
      </vt:variant>
      <vt:variant>
        <vt:i4>1</vt:i4>
      </vt:variant>
    </vt:vector>
  </HeadingPairs>
  <TitlesOfParts>
    <vt:vector size="196" baseType="lpstr">
      <vt:lpstr>FINANCIAL</vt:lpstr>
      <vt:lpstr>RECAP #9239.02</vt:lpstr>
      <vt:lpstr>#9239.02 Funds Recv'd</vt:lpstr>
      <vt:lpstr>#9239.02 Samuels Group</vt:lpstr>
      <vt:lpstr>#9239.02 PM TIME </vt:lpstr>
      <vt:lpstr>#9239.02 Misc</vt:lpstr>
      <vt:lpstr>#9239.02 FarnsworthGroup</vt:lpstr>
      <vt:lpstr>#9239.02 FarnsworthGroup (2)</vt:lpstr>
      <vt:lpstr>#9239.02 Samuels Group (2)</vt:lpstr>
      <vt:lpstr>#9239.02 Accurate Commercial</vt:lpstr>
      <vt:lpstr>#9239.02 Proctor Mechanical</vt:lpstr>
      <vt:lpstr>#9239.02 Con-Struct Inc</vt:lpstr>
      <vt:lpstr>#9239.02 Samuels Group (3)</vt:lpstr>
      <vt:lpstr>#9239.02 Terracon Consultants</vt:lpstr>
      <vt:lpstr>#9239.02 Interstate Power</vt:lpstr>
      <vt:lpstr>RECAP #9239.03</vt:lpstr>
      <vt:lpstr>#9239.03 Funds Rec'd </vt:lpstr>
      <vt:lpstr>#9239.03 Farnsworth Group</vt:lpstr>
      <vt:lpstr>#9239.03 PM TIME </vt:lpstr>
      <vt:lpstr>#9239.03 Misc </vt:lpstr>
      <vt:lpstr>#9239.03 Samuels Group</vt:lpstr>
      <vt:lpstr>#9239.03 Proctor Mechanical</vt:lpstr>
      <vt:lpstr>#9239.03 Con-Struct Inc</vt:lpstr>
      <vt:lpstr>#9239.03 Samuels Group (2)</vt:lpstr>
      <vt:lpstr>#9239.03 Terracon Consultants</vt:lpstr>
      <vt:lpstr>RECAP #9279.40</vt:lpstr>
      <vt:lpstr>#9279.40 Funds Rec'd </vt:lpstr>
      <vt:lpstr>#9279.40 Shive Hattery</vt:lpstr>
      <vt:lpstr>#9279.40 PM TIME </vt:lpstr>
      <vt:lpstr>#9279.40 Misc</vt:lpstr>
      <vt:lpstr>#9279.40 Story Construction</vt:lpstr>
      <vt:lpstr>#9279.40 ATC Group Services</vt:lpstr>
      <vt:lpstr>#9279.40 Shive Hattery (2)</vt:lpstr>
      <vt:lpstr>#9279.40 SystemWorks</vt:lpstr>
      <vt:lpstr>#9279.40 ATC Group Services (2)</vt:lpstr>
      <vt:lpstr>#9279.40 Shive Hattery (3)</vt:lpstr>
      <vt:lpstr>#9279.40 Shive Hattery (4)</vt:lpstr>
      <vt:lpstr>#9279.40 ATC Group Services (3)</vt:lpstr>
      <vt:lpstr>#9279.40 Story Construction (2)</vt:lpstr>
      <vt:lpstr>#9279.40 Advanced Environmental</vt:lpstr>
      <vt:lpstr>#9279.40 VanMaanen Electric</vt:lpstr>
      <vt:lpstr>#9279.40 Pleva Plumbing</vt:lpstr>
      <vt:lpstr>#9279.40 SystemWorks (2)</vt:lpstr>
      <vt:lpstr>#9279.40 Kline Electrical</vt:lpstr>
      <vt:lpstr>#9279.40 Shive Hattery (5)</vt:lpstr>
      <vt:lpstr>#9279.40 Story Construction (3)</vt:lpstr>
      <vt:lpstr>#9279.40 ATC Group Services (4)</vt:lpstr>
      <vt:lpstr>#9279.40 ATC Group Services (5)</vt:lpstr>
      <vt:lpstr>#9279.40 Controlled Asbestos</vt:lpstr>
      <vt:lpstr>#9279.40 Story Construction (4)</vt:lpstr>
      <vt:lpstr>#9279.40 VanMaanen Electric (2)</vt:lpstr>
      <vt:lpstr>#9279.40 Controlled Asbesto (2)</vt:lpstr>
      <vt:lpstr>RECAP #9279.41</vt:lpstr>
      <vt:lpstr>#9279.41 Funds Rec'd </vt:lpstr>
      <vt:lpstr>#9279.41 Shive Hattery</vt:lpstr>
      <vt:lpstr>#9279.41 PM TIME</vt:lpstr>
      <vt:lpstr>#9279.41 Misc</vt:lpstr>
      <vt:lpstr>#9279.41 Story Construction</vt:lpstr>
      <vt:lpstr>RECAP #9294.00</vt:lpstr>
      <vt:lpstr>#9294.00 Funds Recv'd </vt:lpstr>
      <vt:lpstr>#9294.00 Van Maanen</vt:lpstr>
      <vt:lpstr>#9294.00 PM TIME </vt:lpstr>
      <vt:lpstr>#9294.00 Misc</vt:lpstr>
      <vt:lpstr>RECAP #9358.01</vt:lpstr>
      <vt:lpstr>#9358.01 Funds Recv'd</vt:lpstr>
      <vt:lpstr>#9358.01 Commonwealth Electric</vt:lpstr>
      <vt:lpstr>#9358.01 PM TIME</vt:lpstr>
      <vt:lpstr>#9358.01 Misc</vt:lpstr>
      <vt:lpstr>#9358.01 Central IA Mechanical</vt:lpstr>
      <vt:lpstr>#9358.01 DCI Group</vt:lpstr>
      <vt:lpstr>RECAP #9360.01</vt:lpstr>
      <vt:lpstr>#9360.01 Funds Recv'd</vt:lpstr>
      <vt:lpstr>#9360.01 Air-Con Electric</vt:lpstr>
      <vt:lpstr>#9360.01 PM TIME</vt:lpstr>
      <vt:lpstr>#9360.01 Misc</vt:lpstr>
      <vt:lpstr>#9360.01 McGough Construction</vt:lpstr>
      <vt:lpstr>#9360.01 McGough Constr (2)</vt:lpstr>
      <vt:lpstr>#9360.01 KCL Engineering</vt:lpstr>
      <vt:lpstr>RECAP #9366.00</vt:lpstr>
      <vt:lpstr>#9366.00 Funds Rec'd</vt:lpstr>
      <vt:lpstr>#9366.00 Jensen Builders</vt:lpstr>
      <vt:lpstr>#9366.00 PM TIME</vt:lpstr>
      <vt:lpstr>#9366.00 Misc</vt:lpstr>
      <vt:lpstr>RECAP #9424.00</vt:lpstr>
      <vt:lpstr>#9424.00 Funds Rec'd  </vt:lpstr>
      <vt:lpstr>#9424.00 IMEG Corporation</vt:lpstr>
      <vt:lpstr>#9424.00 PM TIME </vt:lpstr>
      <vt:lpstr>#9424.00 Misc</vt:lpstr>
      <vt:lpstr>#9424.00 McGough Construction</vt:lpstr>
      <vt:lpstr>#9424.00 K&amp;W Electric</vt:lpstr>
      <vt:lpstr>RECAP #9425.01</vt:lpstr>
      <vt:lpstr>#9425.01 Funds Recv'd </vt:lpstr>
      <vt:lpstr>#9425.01 McGough Construction</vt:lpstr>
      <vt:lpstr>#9425.01 PM TIME </vt:lpstr>
      <vt:lpstr>#9425.01 Misc </vt:lpstr>
      <vt:lpstr>#9425.01 ATC Group</vt:lpstr>
      <vt:lpstr>#9425.01 JamcoAbatement Service</vt:lpstr>
      <vt:lpstr>#9425.01 McGough Constructi (2)</vt:lpstr>
      <vt:lpstr>RECAP #9429.00 </vt:lpstr>
      <vt:lpstr>#9429.00 Funds Recv'd</vt:lpstr>
      <vt:lpstr>#9429.00 OPN Architects</vt:lpstr>
      <vt:lpstr>#9429.00 PM TIME</vt:lpstr>
      <vt:lpstr>#9429.00 Misc</vt:lpstr>
      <vt:lpstr>#9429.00 OPN Architects (2)</vt:lpstr>
      <vt:lpstr>#9429.00 Weitz Company</vt:lpstr>
      <vt:lpstr>#9429.00 Terracon Consultants</vt:lpstr>
      <vt:lpstr>#9429.00 Terracon Consultan (2)</vt:lpstr>
      <vt:lpstr>#9429.00 Jaeger Corporation </vt:lpstr>
      <vt:lpstr>#9429.00 SystemWorks</vt:lpstr>
      <vt:lpstr>#9429.00 OPN Architects (3)</vt:lpstr>
      <vt:lpstr>#9429.00 Core Construction</vt:lpstr>
      <vt:lpstr>#9429.00 Core Construction (2)</vt:lpstr>
      <vt:lpstr>#9429.00 Seedorff Masonry</vt:lpstr>
      <vt:lpstr>#9429.00 US Erectors</vt:lpstr>
      <vt:lpstr>#9429.00 Breiholz Construction</vt:lpstr>
      <vt:lpstr>#9429.00 Bailey Roofing</vt:lpstr>
      <vt:lpstr>#9429.00 Elite Glass and Metal</vt:lpstr>
      <vt:lpstr>#9429.00 VanMaanen Electric</vt:lpstr>
      <vt:lpstr>#9429.00 SGH Concepts</vt:lpstr>
      <vt:lpstr>#9429.00 Veit &amp; Company</vt:lpstr>
      <vt:lpstr>#9429.00 Grazzini Brothers</vt:lpstr>
      <vt:lpstr>#9429.00 JF Ahern</vt:lpstr>
      <vt:lpstr>#9429.00 Andersen Construction </vt:lpstr>
      <vt:lpstr>#9429.00 Conference Technologie</vt:lpstr>
      <vt:lpstr>#9429.00 Weitz Company (2)</vt:lpstr>
      <vt:lpstr>#9429.00 Terracon Consultants 3</vt:lpstr>
      <vt:lpstr>#9429.00 All Makes-Furniture</vt:lpstr>
      <vt:lpstr>RECAP #9433.00</vt:lpstr>
      <vt:lpstr>#9433.00 Funds Recv'd </vt:lpstr>
      <vt:lpstr>#9433.00 Story Construction</vt:lpstr>
      <vt:lpstr>#9433.00 PM TIME </vt:lpstr>
      <vt:lpstr>#9433.00 Misc</vt:lpstr>
      <vt:lpstr>#9433.00 Genesis Architectural</vt:lpstr>
      <vt:lpstr>#9433.00 Falke Construction</vt:lpstr>
      <vt:lpstr>#9433.00 Story Construction (2)</vt:lpstr>
      <vt:lpstr>RECAP #9466.00</vt:lpstr>
      <vt:lpstr>#9466.00 Funds Rec'd </vt:lpstr>
      <vt:lpstr>#9466.00 Boyd Jones</vt:lpstr>
      <vt:lpstr>#9466.00 PM TIME</vt:lpstr>
      <vt:lpstr>#9466.00 Misc </vt:lpstr>
      <vt:lpstr>#9466.00 KCL Engineering</vt:lpstr>
      <vt:lpstr>#9466.00 Thompson Solutions</vt:lpstr>
      <vt:lpstr>#9466.00 Boyd Jones (2)</vt:lpstr>
      <vt:lpstr>RECAP #9467.00</vt:lpstr>
      <vt:lpstr>#9467.00 Funds Rec'd</vt:lpstr>
      <vt:lpstr>#9467.00 Vendor A</vt:lpstr>
      <vt:lpstr>#9467.00 PM TIME</vt:lpstr>
      <vt:lpstr>#9467.00 Misc</vt:lpstr>
      <vt:lpstr>RECAP #9468.00</vt:lpstr>
      <vt:lpstr>#9468.00 Funds Rec'd </vt:lpstr>
      <vt:lpstr>#9468.00 Vendor A </vt:lpstr>
      <vt:lpstr>#9468.00 PM TIME </vt:lpstr>
      <vt:lpstr>#9468.00 Misc </vt:lpstr>
      <vt:lpstr>RECAP #9470.00</vt:lpstr>
      <vt:lpstr>#9470.00 Funds Rec'd</vt:lpstr>
      <vt:lpstr>#9470.00 Horizon Architecture</vt:lpstr>
      <vt:lpstr>#9470.00 PM TIME</vt:lpstr>
      <vt:lpstr>#9470.00 Misc</vt:lpstr>
      <vt:lpstr>RECAP #9472.00</vt:lpstr>
      <vt:lpstr>#9472.00 Funds Rec'd</vt:lpstr>
      <vt:lpstr>#9472.00 Vendor A</vt:lpstr>
      <vt:lpstr>#9472.00 PM TIME</vt:lpstr>
      <vt:lpstr>#9472.00 Misc</vt:lpstr>
      <vt:lpstr>RECAP #9473.00</vt:lpstr>
      <vt:lpstr>#9473.00 Funds Rec'd</vt:lpstr>
      <vt:lpstr>#9473.00 Vendor A </vt:lpstr>
      <vt:lpstr>#9473.00 PM TIME </vt:lpstr>
      <vt:lpstr>#9473.00 Misc</vt:lpstr>
      <vt:lpstr>RECAP #9475.00</vt:lpstr>
      <vt:lpstr>#9475.00 Funds Rec'd</vt:lpstr>
      <vt:lpstr>#9475.00 Genesis Architectural</vt:lpstr>
      <vt:lpstr>#9475.00 PM TIME</vt:lpstr>
      <vt:lpstr>#9475.00 Misc</vt:lpstr>
      <vt:lpstr>#9475.00 DCI Group</vt:lpstr>
      <vt:lpstr>#9475.00 Christiansen Contr</vt:lpstr>
      <vt:lpstr>#9475.00 CW Suter</vt:lpstr>
      <vt:lpstr>#9475.00 DCI Group (2)</vt:lpstr>
      <vt:lpstr>RECAP #9476.00</vt:lpstr>
      <vt:lpstr>#9476.00 Funds Rec'd</vt:lpstr>
      <vt:lpstr>#9476.00 McGough Construction</vt:lpstr>
      <vt:lpstr>#9476.00 PM TIME</vt:lpstr>
      <vt:lpstr>#9476.00 Misc </vt:lpstr>
      <vt:lpstr>#9476.00 HGM Associates Inc</vt:lpstr>
      <vt:lpstr>RECAP #9480.00</vt:lpstr>
      <vt:lpstr>#9480.00 Funds Rec'd</vt:lpstr>
      <vt:lpstr>#9480.00 McGough Construction</vt:lpstr>
      <vt:lpstr>#9480.00 PM Time</vt:lpstr>
      <vt:lpstr>#9480.00 Misc</vt:lpstr>
      <vt:lpstr>#9480.00 Genesis Architectural</vt:lpstr>
      <vt:lpstr>#XXXX.XX Funds Recv'd Incorrect</vt:lpstr>
      <vt:lpstr>RECAP #XXXX.XX</vt:lpstr>
      <vt:lpstr>#XXXX.XX Funds Rec'd</vt:lpstr>
      <vt:lpstr>#XXXX.XX Vendor A </vt:lpstr>
      <vt:lpstr>#XXXX.XX PM TIME </vt:lpstr>
      <vt:lpstr>#XXXX.XX Misc </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cp:lastModifiedBy>
  <cp:lastPrinted>2026-05-01T14:47:34Z</cp:lastPrinted>
  <dcterms:created xsi:type="dcterms:W3CDTF">2011-09-23T14:16:56Z</dcterms:created>
  <dcterms:modified xsi:type="dcterms:W3CDTF">2026-05-04T20:02:06Z</dcterms:modified>
</cp:coreProperties>
</file>