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DAS Shared Perm\GSE Infrastructure\MM FY25 0017-2000 Elevators\"/>
    </mc:Choice>
  </mc:AlternateContent>
  <xr:revisionPtr revIDLastSave="0" documentId="13_ncr:1_{7B33A65E-72F2-4DD9-95DF-AB212878E0EF}" xr6:coauthVersionLast="47" xr6:coauthVersionMax="47" xr10:uidLastSave="{00000000-0000-0000-0000-000000000000}"/>
  <bookViews>
    <workbookView xWindow="-28920" yWindow="-135" windowWidth="29040" windowHeight="15720" tabRatio="909" activeTab="1" xr2:uid="{00000000-000D-0000-FFFF-FFFF00000000}"/>
  </bookViews>
  <sheets>
    <sheet name="Language" sheetId="7" r:id="rId1"/>
    <sheet name="FINANCIAL" sheetId="6" r:id="rId2"/>
    <sheet name="RECAP #9436.00" sheetId="8" r:id="rId3"/>
    <sheet name="#9436.00 DCI Group" sheetId="9" r:id="rId4"/>
    <sheet name="#9436.00 PM TIME" sheetId="10" r:id="rId5"/>
    <sheet name="#9436.00 Misc" sheetId="11" r:id="rId6"/>
    <sheet name="#9436.00 OPN Architects" sheetId="16" r:id="rId7"/>
    <sheet name="#9436.00 Bergstrom Construction" sheetId="18" r:id="rId8"/>
    <sheet name="#9436.00 Schumacher Elevator" sheetId="19" r:id="rId9"/>
    <sheet name="#9436.00 All Iowa Mechanical" sheetId="20" r:id="rId10"/>
    <sheet name="#9436.00 Air Con Electric" sheetId="21" r:id="rId11"/>
    <sheet name="#9436.00 DCI Group (2)" sheetId="22" r:id="rId12"/>
    <sheet name="#9436.00 Johnson Controls" sheetId="23" r:id="rId13"/>
    <sheet name="#9436.00 Johnson Controls (2)" sheetId="28" r:id="rId14"/>
    <sheet name="RECAP #9440.00" sheetId="12" r:id="rId15"/>
    <sheet name="#9440.00 OPN Architects" sheetId="17" r:id="rId16"/>
    <sheet name="#9440.00 PM TIME" sheetId="14" r:id="rId17"/>
    <sheet name="#9440.00 Misc " sheetId="15" r:id="rId18"/>
    <sheet name="#9440.00 DCI Group" sheetId="13" r:id="rId19"/>
    <sheet name="#9440.00 DCI Group (2)" sheetId="24" r:id="rId20"/>
    <sheet name="#9440.00 Van Maanen Electrical" sheetId="25" r:id="rId21"/>
    <sheet name="#9440.00 Proctor Mechanical" sheetId="26" r:id="rId22"/>
    <sheet name="#9440.00 Bergstrom Construction" sheetId="27" r:id="rId23"/>
    <sheet name="#9440.00 Metro Elevator" sheetId="29" r:id="rId24"/>
    <sheet name="RECAP #XXXX.XX" sheetId="2" r:id="rId25"/>
    <sheet name="#XXXX.XX Vendor A" sheetId="3" r:id="rId26"/>
    <sheet name="#XXXX.XX PM TIME" sheetId="4" r:id="rId27"/>
    <sheet name="#XXXX.XX Misc" sheetId="5" r:id="rId28"/>
  </sheets>
  <externalReferences>
    <externalReference r:id="rId29"/>
  </externalReferences>
  <definedNames>
    <definedName name="_xlnm._FilterDatabase" localSheetId="1" hidden="1">FINANCIAL!$A$13:$K$13</definedName>
    <definedName name="_xlnm.Print_Area" localSheetId="1">FINANCIAL!$A$1:$K$47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FINANCIAL!$A$1:$K$47</definedName>
    <definedName name="Z_B4E4B686_422E_4CA5_83DF_67B3403136B9_.wvu.PrintTitles" localSheetId="1" hidden="1">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20" l="1"/>
  <c r="I14" i="21"/>
  <c r="D28" i="3"/>
  <c r="H27" i="3"/>
  <c r="F28" i="3"/>
  <c r="E21" i="17"/>
  <c r="E22" i="17"/>
  <c r="E23" i="17" s="1"/>
  <c r="I12" i="29"/>
  <c r="H26" i="3" l="1"/>
  <c r="H28" i="3" s="1"/>
  <c r="F29" i="24"/>
  <c r="F28" i="24"/>
  <c r="F26" i="24"/>
  <c r="I13" i="21"/>
  <c r="F28" i="22"/>
  <c r="F27" i="22"/>
  <c r="F26" i="22"/>
  <c r="H21" i="16"/>
  <c r="H22" i="16" s="1"/>
  <c r="H23" i="16" s="1"/>
  <c r="G21" i="16"/>
  <c r="G22" i="16" s="1"/>
  <c r="G23" i="16" s="1"/>
  <c r="E21" i="16"/>
  <c r="E22" i="16" s="1"/>
  <c r="E23" i="16" s="1"/>
  <c r="I34" i="14"/>
  <c r="I35" i="14" s="1"/>
  <c r="I36" i="14" s="1"/>
  <c r="I37" i="14" s="1"/>
  <c r="I38" i="14" s="1"/>
  <c r="H34" i="14"/>
  <c r="H35" i="14" s="1"/>
  <c r="H36" i="14" s="1"/>
  <c r="H37" i="14" s="1"/>
  <c r="H38" i="14" s="1"/>
  <c r="F34" i="14"/>
  <c r="F35" i="14" s="1"/>
  <c r="F36" i="14" s="1"/>
  <c r="F37" i="14" s="1"/>
  <c r="F38" i="14" s="1"/>
  <c r="I34" i="10"/>
  <c r="I35" i="10" s="1"/>
  <c r="I36" i="10" s="1"/>
  <c r="I37" i="10" s="1"/>
  <c r="I38" i="10" s="1"/>
  <c r="H34" i="10"/>
  <c r="H35" i="10" s="1"/>
  <c r="H36" i="10" s="1"/>
  <c r="H37" i="10" s="1"/>
  <c r="H38" i="10" s="1"/>
  <c r="F34" i="10"/>
  <c r="F35" i="10" s="1"/>
  <c r="F36" i="10" s="1"/>
  <c r="F37" i="10" s="1"/>
  <c r="F38" i="10" s="1"/>
  <c r="F100" i="17"/>
  <c r="F96" i="17"/>
  <c r="F88" i="17"/>
  <c r="F80" i="17"/>
  <c r="F72" i="17"/>
  <c r="F64" i="17"/>
  <c r="F56" i="17"/>
  <c r="F48" i="17"/>
  <c r="F40" i="17"/>
  <c r="F32" i="17"/>
  <c r="I13" i="19"/>
  <c r="I12" i="19" l="1"/>
  <c r="G33" i="14" l="1"/>
  <c r="G32" i="14"/>
  <c r="G33" i="10"/>
  <c r="G32" i="10"/>
  <c r="G29" i="14" l="1"/>
  <c r="G28" i="14"/>
  <c r="G29" i="10"/>
  <c r="G28" i="10"/>
  <c r="I10" i="27" l="1"/>
  <c r="F27" i="24" l="1"/>
  <c r="G27" i="14" l="1"/>
  <c r="G26" i="14"/>
  <c r="G27" i="10"/>
  <c r="G26" i="10" l="1"/>
  <c r="I10" i="21" l="1"/>
  <c r="I11" i="21" s="1"/>
  <c r="I10" i="18"/>
  <c r="I12" i="18" s="1"/>
  <c r="D26" i="29" l="1"/>
  <c r="D26" i="27"/>
  <c r="F23" i="29" l="1"/>
  <c r="D23" i="29"/>
  <c r="G10" i="29"/>
  <c r="G11" i="29" s="1"/>
  <c r="G12" i="29" s="1"/>
  <c r="G13" i="29" s="1"/>
  <c r="G14" i="29" s="1"/>
  <c r="G15" i="29" s="1"/>
  <c r="G16" i="29" s="1"/>
  <c r="G17" i="29" s="1"/>
  <c r="G18" i="29" s="1"/>
  <c r="G19" i="29" s="1"/>
  <c r="G20" i="29" s="1"/>
  <c r="G21" i="29" s="1"/>
  <c r="E9" i="29"/>
  <c r="H9" i="29" s="1"/>
  <c r="H10" i="29" s="1"/>
  <c r="H11" i="29" s="1"/>
  <c r="H12" i="29" s="1"/>
  <c r="H13" i="29" s="1"/>
  <c r="H14" i="29" s="1"/>
  <c r="H15" i="29" s="1"/>
  <c r="H16" i="29" s="1"/>
  <c r="H17" i="29" s="1"/>
  <c r="H18" i="29" s="1"/>
  <c r="H19" i="29" s="1"/>
  <c r="H20" i="29" s="1"/>
  <c r="H21" i="29" s="1"/>
  <c r="A6" i="29"/>
  <c r="D3" i="29"/>
  <c r="A3" i="29"/>
  <c r="A2" i="29"/>
  <c r="A1" i="29"/>
  <c r="E18" i="12" l="1"/>
  <c r="D27" i="29"/>
  <c r="D18" i="12"/>
  <c r="E10" i="29"/>
  <c r="E11" i="29" s="1"/>
  <c r="E12" i="29" s="1"/>
  <c r="E13" i="29" s="1"/>
  <c r="E14" i="29" s="1"/>
  <c r="E15" i="29" s="1"/>
  <c r="E16" i="29" s="1"/>
  <c r="E17" i="29" s="1"/>
  <c r="E18" i="29" s="1"/>
  <c r="E19" i="29" s="1"/>
  <c r="E20" i="29" s="1"/>
  <c r="E21" i="29" s="1"/>
  <c r="H23" i="29"/>
  <c r="F23" i="28"/>
  <c r="E20" i="8" s="1"/>
  <c r="D23" i="28"/>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H23" i="28" l="1"/>
  <c r="F20" i="8" s="1"/>
  <c r="D20" i="8"/>
  <c r="F18" i="12"/>
  <c r="H9" i="28"/>
  <c r="H10" i="28" s="1"/>
  <c r="H11" i="28" s="1"/>
  <c r="H12" i="28" s="1"/>
  <c r="H13" i="28" s="1"/>
  <c r="H14" i="28" s="1"/>
  <c r="H15" i="28" s="1"/>
  <c r="H16" i="28" s="1"/>
  <c r="H17" i="28" s="1"/>
  <c r="H18" i="28" s="1"/>
  <c r="H19" i="28" s="1"/>
  <c r="H20" i="28" s="1"/>
  <c r="H21" i="28" s="1"/>
  <c r="F23" i="27"/>
  <c r="E17" i="12" s="1"/>
  <c r="D23" i="27"/>
  <c r="D17" i="12" s="1"/>
  <c r="G10" i="27"/>
  <c r="G11" i="27" s="1"/>
  <c r="G12" i="27" s="1"/>
  <c r="G13" i="27" s="1"/>
  <c r="G14" i="27" s="1"/>
  <c r="G15" i="27" s="1"/>
  <c r="G16" i="27" s="1"/>
  <c r="G17" i="27" s="1"/>
  <c r="G18" i="27" s="1"/>
  <c r="G19" i="27" s="1"/>
  <c r="G20" i="27" s="1"/>
  <c r="G21" i="27" s="1"/>
  <c r="E10" i="27"/>
  <c r="E11" i="27" s="1"/>
  <c r="E12" i="27" s="1"/>
  <c r="E13" i="27" s="1"/>
  <c r="E14" i="27" s="1"/>
  <c r="E15" i="27" s="1"/>
  <c r="E16" i="27" s="1"/>
  <c r="E17" i="27" s="1"/>
  <c r="E18" i="27" s="1"/>
  <c r="E19" i="27" s="1"/>
  <c r="E20" i="27" s="1"/>
  <c r="E21" i="27" s="1"/>
  <c r="E9" i="27"/>
  <c r="H9" i="27" s="1"/>
  <c r="H10" i="27" s="1"/>
  <c r="H11" i="27" s="1"/>
  <c r="H12" i="27" s="1"/>
  <c r="H13" i="27" s="1"/>
  <c r="H14" i="27" s="1"/>
  <c r="H15" i="27" s="1"/>
  <c r="H16" i="27" s="1"/>
  <c r="H17" i="27" s="1"/>
  <c r="H18" i="27" s="1"/>
  <c r="H19" i="27" s="1"/>
  <c r="H20" i="27" s="1"/>
  <c r="H21" i="27" s="1"/>
  <c r="A6" i="27"/>
  <c r="D3" i="27"/>
  <c r="A3" i="27"/>
  <c r="A2" i="27"/>
  <c r="A1" i="27"/>
  <c r="H26" i="25"/>
  <c r="F26" i="25"/>
  <c r="D26" i="25"/>
  <c r="D26" i="26"/>
  <c r="F23" i="26"/>
  <c r="E16" i="12" s="1"/>
  <c r="D23" i="26"/>
  <c r="D16" i="12" s="1"/>
  <c r="G10" i="26"/>
  <c r="G11" i="26" s="1"/>
  <c r="G12" i="26" s="1"/>
  <c r="G13" i="26" s="1"/>
  <c r="G14" i="26" s="1"/>
  <c r="G15" i="26" s="1"/>
  <c r="G16" i="26" s="1"/>
  <c r="G17" i="26" s="1"/>
  <c r="G18" i="26" s="1"/>
  <c r="G19" i="26" s="1"/>
  <c r="G20" i="26" s="1"/>
  <c r="G21" i="26" s="1"/>
  <c r="E9" i="26"/>
  <c r="E10" i="26" s="1"/>
  <c r="E11" i="26" s="1"/>
  <c r="E12" i="26" s="1"/>
  <c r="E13" i="26" s="1"/>
  <c r="E14" i="26" s="1"/>
  <c r="E15" i="26" s="1"/>
  <c r="E16" i="26" s="1"/>
  <c r="E17" i="26" s="1"/>
  <c r="E18" i="26" s="1"/>
  <c r="E19" i="26" s="1"/>
  <c r="E20" i="26" s="1"/>
  <c r="E21" i="26" s="1"/>
  <c r="A6" i="26"/>
  <c r="D3" i="26"/>
  <c r="A3" i="26"/>
  <c r="A2" i="26"/>
  <c r="A1" i="26"/>
  <c r="F23" i="25"/>
  <c r="E15" i="12" s="1"/>
  <c r="D23" i="25"/>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H9" i="26" l="1"/>
  <c r="H10" i="26" s="1"/>
  <c r="H11" i="26" s="1"/>
  <c r="H12" i="26" s="1"/>
  <c r="H13" i="26" s="1"/>
  <c r="H14" i="26" s="1"/>
  <c r="H15" i="26" s="1"/>
  <c r="H16" i="26" s="1"/>
  <c r="H17" i="26" s="1"/>
  <c r="H18" i="26" s="1"/>
  <c r="H19" i="26" s="1"/>
  <c r="H20" i="26" s="1"/>
  <c r="H21" i="26" s="1"/>
  <c r="D27" i="26"/>
  <c r="D27" i="27"/>
  <c r="H23" i="27"/>
  <c r="D15" i="12"/>
  <c r="H23" i="26"/>
  <c r="F27" i="25"/>
  <c r="D27" i="25"/>
  <c r="H9" i="25"/>
  <c r="H10" i="25" s="1"/>
  <c r="H11" i="25" s="1"/>
  <c r="H12" i="25" s="1"/>
  <c r="H13" i="25" s="1"/>
  <c r="H14" i="25" s="1"/>
  <c r="H15" i="25" s="1"/>
  <c r="H16" i="25" s="1"/>
  <c r="H17" i="25" s="1"/>
  <c r="H18" i="25" s="1"/>
  <c r="H19" i="25" s="1"/>
  <c r="H20" i="25" s="1"/>
  <c r="H21" i="25" s="1"/>
  <c r="H23" i="25"/>
  <c r="F16" i="12" l="1"/>
  <c r="F17" i="12"/>
  <c r="H27" i="25"/>
  <c r="F15" i="12"/>
  <c r="H27" i="24" l="1"/>
  <c r="D32" i="24"/>
  <c r="H28" i="24"/>
  <c r="D29" i="24"/>
  <c r="F23" i="24"/>
  <c r="E14" i="12" s="1"/>
  <c r="D23" i="24"/>
  <c r="D14" i="12" s="1"/>
  <c r="G10" i="24"/>
  <c r="G11" i="24" s="1"/>
  <c r="G12" i="24" s="1"/>
  <c r="G13" i="24" s="1"/>
  <c r="G14" i="24" s="1"/>
  <c r="G15" i="24" s="1"/>
  <c r="G16" i="24" s="1"/>
  <c r="G17" i="24" s="1"/>
  <c r="G18" i="24" s="1"/>
  <c r="G19" i="24" s="1"/>
  <c r="G20" i="24" s="1"/>
  <c r="G21" i="24" s="1"/>
  <c r="E9" i="24"/>
  <c r="H9" i="24" s="1"/>
  <c r="H10" i="24" s="1"/>
  <c r="H11" i="24" s="1"/>
  <c r="H12" i="24" s="1"/>
  <c r="H13" i="24" s="1"/>
  <c r="H14" i="24" s="1"/>
  <c r="H15" i="24" s="1"/>
  <c r="H16" i="24" s="1"/>
  <c r="H17" i="24" s="1"/>
  <c r="H18" i="24" s="1"/>
  <c r="H19" i="24" s="1"/>
  <c r="H20" i="24" s="1"/>
  <c r="H21" i="24" s="1"/>
  <c r="A6" i="24"/>
  <c r="D3" i="24"/>
  <c r="A3" i="24"/>
  <c r="A2" i="24"/>
  <c r="A1" i="24"/>
  <c r="D33" i="24" l="1"/>
  <c r="H23" i="24"/>
  <c r="F14" i="12" s="1"/>
  <c r="E10" i="24"/>
  <c r="E11" i="24" s="1"/>
  <c r="E12" i="24" s="1"/>
  <c r="E13" i="24" s="1"/>
  <c r="E14" i="24" s="1"/>
  <c r="E15" i="24" s="1"/>
  <c r="E16" i="24" s="1"/>
  <c r="E17" i="24" s="1"/>
  <c r="E18" i="24" s="1"/>
  <c r="E19" i="24" s="1"/>
  <c r="E20" i="24" s="1"/>
  <c r="E21" i="24" s="1"/>
  <c r="H26" i="24"/>
  <c r="H29" i="24" s="1"/>
  <c r="E15" i="6"/>
  <c r="E16" i="6"/>
  <c r="F95" i="17" l="1"/>
  <c r="F87" i="17"/>
  <c r="F79" i="17"/>
  <c r="F71" i="17"/>
  <c r="F63" i="17"/>
  <c r="F47" i="17"/>
  <c r="F55" i="17"/>
  <c r="F39" i="17"/>
  <c r="F31" i="17"/>
  <c r="G25" i="14" l="1"/>
  <c r="G24" i="14"/>
  <c r="G25" i="10"/>
  <c r="G24" i="10"/>
  <c r="D27" i="13" l="1"/>
  <c r="D26" i="13"/>
  <c r="F26" i="13" l="1"/>
  <c r="F23" i="23" l="1"/>
  <c r="E19" i="8" s="1"/>
  <c r="D23" i="23"/>
  <c r="G10" i="23"/>
  <c r="G11" i="23" s="1"/>
  <c r="G12" i="23" s="1"/>
  <c r="G13" i="23" s="1"/>
  <c r="G14" i="23" s="1"/>
  <c r="G15" i="23" s="1"/>
  <c r="G16" i="23" s="1"/>
  <c r="G17" i="23" s="1"/>
  <c r="G18" i="23" s="1"/>
  <c r="G19" i="23" s="1"/>
  <c r="G20" i="23" s="1"/>
  <c r="G21" i="23" s="1"/>
  <c r="E9" i="23"/>
  <c r="E10" i="23" s="1"/>
  <c r="E11" i="23" s="1"/>
  <c r="E12" i="23" s="1"/>
  <c r="E13" i="23" s="1"/>
  <c r="E14" i="23" s="1"/>
  <c r="E15" i="23" s="1"/>
  <c r="E16" i="23" s="1"/>
  <c r="E17" i="23" s="1"/>
  <c r="E18" i="23" s="1"/>
  <c r="E19" i="23" s="1"/>
  <c r="E20" i="23" s="1"/>
  <c r="E21" i="23" s="1"/>
  <c r="A6" i="23"/>
  <c r="D3" i="23"/>
  <c r="A3" i="23"/>
  <c r="A2" i="23"/>
  <c r="A1" i="23"/>
  <c r="H23" i="23" l="1"/>
  <c r="F19" i="8" s="1"/>
  <c r="D19" i="8"/>
  <c r="H9" i="23"/>
  <c r="H10" i="23" s="1"/>
  <c r="H11" i="23" s="1"/>
  <c r="H12" i="23" s="1"/>
  <c r="H13" i="23" s="1"/>
  <c r="H14" i="23" s="1"/>
  <c r="H15" i="23" s="1"/>
  <c r="H16" i="23" s="1"/>
  <c r="H17" i="23" s="1"/>
  <c r="H18" i="23" s="1"/>
  <c r="H19" i="23" s="1"/>
  <c r="H20" i="23" s="1"/>
  <c r="H21" i="23" s="1"/>
  <c r="F27" i="13" l="1"/>
  <c r="F38" i="17" l="1"/>
  <c r="F30" i="17"/>
  <c r="H26" i="22" l="1"/>
  <c r="D29" i="22"/>
  <c r="H28" i="22"/>
  <c r="H27" i="22"/>
  <c r="F23" i="22"/>
  <c r="E18" i="8" s="1"/>
  <c r="D23" i="22"/>
  <c r="D18" i="8" s="1"/>
  <c r="G10" i="22"/>
  <c r="G11" i="22" s="1"/>
  <c r="G12" i="22" s="1"/>
  <c r="G13" i="22" s="1"/>
  <c r="G14" i="22" s="1"/>
  <c r="G15" i="22" s="1"/>
  <c r="G16" i="22" s="1"/>
  <c r="G17" i="22" s="1"/>
  <c r="G18" i="22" s="1"/>
  <c r="G19" i="22" s="1"/>
  <c r="G20" i="22" s="1"/>
  <c r="G21" i="22" s="1"/>
  <c r="E9" i="22"/>
  <c r="E10" i="22" s="1"/>
  <c r="E11" i="22" s="1"/>
  <c r="E12" i="22" s="1"/>
  <c r="E13" i="22" s="1"/>
  <c r="E14" i="22" s="1"/>
  <c r="E15" i="22" s="1"/>
  <c r="E16" i="22" s="1"/>
  <c r="E17" i="22" s="1"/>
  <c r="E18" i="22" s="1"/>
  <c r="E19" i="22" s="1"/>
  <c r="E20" i="22" s="1"/>
  <c r="E21" i="22" s="1"/>
  <c r="A6" i="22"/>
  <c r="D3" i="22"/>
  <c r="A3" i="22"/>
  <c r="A2" i="22"/>
  <c r="A1" i="22"/>
  <c r="H29" i="22" l="1"/>
  <c r="F29" i="22"/>
  <c r="H23" i="22"/>
  <c r="F18" i="8" s="1"/>
  <c r="H9" i="22"/>
  <c r="H10" i="22" s="1"/>
  <c r="H11" i="22" s="1"/>
  <c r="H12" i="22" s="1"/>
  <c r="H13" i="22" s="1"/>
  <c r="H14" i="22" s="1"/>
  <c r="H15" i="22" s="1"/>
  <c r="H16" i="22" s="1"/>
  <c r="H17" i="22" s="1"/>
  <c r="H18" i="22" s="1"/>
  <c r="H19" i="22" s="1"/>
  <c r="H20" i="22" s="1"/>
  <c r="H21" i="22" s="1"/>
  <c r="G23" i="14" l="1"/>
  <c r="G22" i="14"/>
  <c r="G23" i="10"/>
  <c r="G22" i="10"/>
  <c r="G21" i="14" l="1"/>
  <c r="G20" i="14"/>
  <c r="G21" i="10"/>
  <c r="G20" i="10"/>
  <c r="F93" i="17" l="1"/>
  <c r="F85" i="17"/>
  <c r="F77" i="17"/>
  <c r="F69" i="17"/>
  <c r="F61" i="17"/>
  <c r="F53" i="17"/>
  <c r="F45" i="17"/>
  <c r="F37" i="17"/>
  <c r="F29" i="17"/>
  <c r="F23" i="21" l="1"/>
  <c r="E17" i="8" s="1"/>
  <c r="D23" i="21"/>
  <c r="G10" i="21"/>
  <c r="G11" i="21" s="1"/>
  <c r="G12" i="21" s="1"/>
  <c r="G13" i="21" s="1"/>
  <c r="G14" i="21" s="1"/>
  <c r="G15" i="21" s="1"/>
  <c r="G16" i="21" s="1"/>
  <c r="G17" i="21" s="1"/>
  <c r="G18" i="21" s="1"/>
  <c r="G19" i="21" s="1"/>
  <c r="G20" i="21" s="1"/>
  <c r="G21" i="21" s="1"/>
  <c r="E9" i="21"/>
  <c r="E10" i="21" s="1"/>
  <c r="E11" i="21" s="1"/>
  <c r="E12" i="21" s="1"/>
  <c r="E13" i="21" s="1"/>
  <c r="E14" i="21" s="1"/>
  <c r="E15" i="21" s="1"/>
  <c r="E16" i="21" s="1"/>
  <c r="E17" i="21" s="1"/>
  <c r="E18" i="21" s="1"/>
  <c r="E19" i="21" s="1"/>
  <c r="E20" i="21" s="1"/>
  <c r="E21" i="21" s="1"/>
  <c r="A6" i="21"/>
  <c r="D3" i="21"/>
  <c r="A3" i="21"/>
  <c r="A2" i="21"/>
  <c r="A1" i="21"/>
  <c r="F23" i="20"/>
  <c r="E16" i="8" s="1"/>
  <c r="D23" i="20"/>
  <c r="G10" i="20"/>
  <c r="G11" i="20" s="1"/>
  <c r="G12" i="20" s="1"/>
  <c r="G13" i="20" s="1"/>
  <c r="G14" i="20" s="1"/>
  <c r="G15" i="20" s="1"/>
  <c r="G16" i="20" s="1"/>
  <c r="G17" i="20" s="1"/>
  <c r="G18" i="20" s="1"/>
  <c r="G19" i="20" s="1"/>
  <c r="G20" i="20" s="1"/>
  <c r="G21" i="20" s="1"/>
  <c r="E9" i="20"/>
  <c r="E10" i="20" s="1"/>
  <c r="E11" i="20" s="1"/>
  <c r="E12" i="20" s="1"/>
  <c r="E13" i="20" s="1"/>
  <c r="E14" i="20" s="1"/>
  <c r="E15" i="20" s="1"/>
  <c r="E16" i="20" s="1"/>
  <c r="E17" i="20" s="1"/>
  <c r="E18" i="20" s="1"/>
  <c r="E19" i="20" s="1"/>
  <c r="E20" i="20" s="1"/>
  <c r="E21" i="20" s="1"/>
  <c r="A6" i="20"/>
  <c r="D3" i="20"/>
  <c r="A3" i="20"/>
  <c r="A2" i="20"/>
  <c r="A1" i="20"/>
  <c r="H23" i="20" l="1"/>
  <c r="F16" i="8" s="1"/>
  <c r="D16" i="8"/>
  <c r="H23" i="21"/>
  <c r="F17" i="8" s="1"/>
  <c r="D17" i="8"/>
  <c r="H9" i="21"/>
  <c r="H10" i="21" s="1"/>
  <c r="H11" i="21" s="1"/>
  <c r="H12" i="21" s="1"/>
  <c r="H13" i="21" s="1"/>
  <c r="H14" i="21" s="1"/>
  <c r="H15" i="21" s="1"/>
  <c r="H16" i="21" s="1"/>
  <c r="H17" i="21" s="1"/>
  <c r="H18" i="21" s="1"/>
  <c r="H19" i="21" s="1"/>
  <c r="H20" i="21" s="1"/>
  <c r="H21" i="21" s="1"/>
  <c r="H9" i="20"/>
  <c r="H10" i="20" s="1"/>
  <c r="H11" i="20" s="1"/>
  <c r="H12" i="20" s="1"/>
  <c r="H13" i="20" s="1"/>
  <c r="H14" i="20" s="1"/>
  <c r="H15" i="20" s="1"/>
  <c r="H16" i="20" s="1"/>
  <c r="H17" i="20" s="1"/>
  <c r="H18" i="20" s="1"/>
  <c r="H19" i="20" s="1"/>
  <c r="H20" i="20" s="1"/>
  <c r="H21" i="20" s="1"/>
  <c r="F23" i="19"/>
  <c r="E15" i="8" s="1"/>
  <c r="D23" i="19"/>
  <c r="D15" i="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0" i="19" l="1"/>
  <c r="E11" i="19" s="1"/>
  <c r="E12" i="19" s="1"/>
  <c r="E13" i="19" s="1"/>
  <c r="E14" i="19" s="1"/>
  <c r="E15" i="19" s="1"/>
  <c r="E16" i="19" s="1"/>
  <c r="E17" i="19" s="1"/>
  <c r="E18" i="19" s="1"/>
  <c r="E19" i="19" s="1"/>
  <c r="E20" i="19" s="1"/>
  <c r="E21" i="19" s="1"/>
  <c r="H23" i="19"/>
  <c r="F15" i="8" s="1"/>
  <c r="F23" i="18" l="1"/>
  <c r="E14" i="8" s="1"/>
  <c r="D23" i="18"/>
  <c r="D14" i="8" s="1"/>
  <c r="G10" i="18"/>
  <c r="G11" i="18" s="1"/>
  <c r="G12" i="18" s="1"/>
  <c r="G13" i="18" s="1"/>
  <c r="G14" i="18" s="1"/>
  <c r="G15" i="18" s="1"/>
  <c r="G16" i="18" s="1"/>
  <c r="G17" i="18" s="1"/>
  <c r="G18" i="18" s="1"/>
  <c r="G19" i="18" s="1"/>
  <c r="G20" i="18" s="1"/>
  <c r="G21" i="18" s="1"/>
  <c r="E9" i="18"/>
  <c r="E10" i="18" s="1"/>
  <c r="E11" i="18" s="1"/>
  <c r="E12" i="18" s="1"/>
  <c r="E13" i="18" s="1"/>
  <c r="E14" i="18" s="1"/>
  <c r="E15" i="18" s="1"/>
  <c r="E16" i="18" s="1"/>
  <c r="E17" i="18" s="1"/>
  <c r="E18" i="18" s="1"/>
  <c r="E19" i="18" s="1"/>
  <c r="E20" i="18" s="1"/>
  <c r="E21" i="18" s="1"/>
  <c r="A6" i="18"/>
  <c r="D3" i="18"/>
  <c r="A3" i="18"/>
  <c r="A2" i="18"/>
  <c r="A1" i="18"/>
  <c r="H9" i="18" l="1"/>
  <c r="H10" i="18" s="1"/>
  <c r="H11" i="18" s="1"/>
  <c r="H12" i="18" s="1"/>
  <c r="H13" i="18" s="1"/>
  <c r="H14" i="18" s="1"/>
  <c r="H15" i="18" s="1"/>
  <c r="H16" i="18" s="1"/>
  <c r="H17" i="18" s="1"/>
  <c r="H18" i="18" s="1"/>
  <c r="H19" i="18" s="1"/>
  <c r="H20" i="18" s="1"/>
  <c r="H21" i="18" s="1"/>
  <c r="H23" i="18"/>
  <c r="F14" i="8" s="1"/>
  <c r="G19" i="14"/>
  <c r="G18" i="14"/>
  <c r="G19" i="10"/>
  <c r="G18" i="10"/>
  <c r="F33" i="17" l="1"/>
  <c r="F41" i="17"/>
  <c r="F49" i="17"/>
  <c r="F57" i="17"/>
  <c r="F65" i="17"/>
  <c r="F73" i="17"/>
  <c r="F81" i="17"/>
  <c r="F89" i="17"/>
  <c r="F97" i="17"/>
  <c r="G17" i="14" l="1"/>
  <c r="G16" i="14"/>
  <c r="G17" i="10"/>
  <c r="G16" i="10"/>
  <c r="H100" i="17" l="1"/>
  <c r="F101" i="17"/>
  <c r="H94" i="17" l="1"/>
  <c r="H95" i="17"/>
  <c r="H96" i="17"/>
  <c r="H93" i="17"/>
  <c r="H86" i="17"/>
  <c r="H87" i="17"/>
  <c r="H88" i="17"/>
  <c r="H85" i="17"/>
  <c r="H78" i="17"/>
  <c r="H79" i="17"/>
  <c r="H80" i="17"/>
  <c r="H77" i="17"/>
  <c r="H70" i="17"/>
  <c r="H71" i="17"/>
  <c r="H72" i="17"/>
  <c r="H69" i="17"/>
  <c r="H62" i="17"/>
  <c r="H63" i="17"/>
  <c r="H64" i="17"/>
  <c r="H61" i="17"/>
  <c r="H54" i="17"/>
  <c r="H55" i="17"/>
  <c r="H56" i="17"/>
  <c r="H53" i="17"/>
  <c r="H46" i="17"/>
  <c r="H47" i="17"/>
  <c r="H48" i="17"/>
  <c r="H45" i="17"/>
  <c r="H38" i="17"/>
  <c r="H39" i="17"/>
  <c r="H40" i="17"/>
  <c r="H37" i="17"/>
  <c r="H30" i="17"/>
  <c r="H31" i="17"/>
  <c r="H32" i="17"/>
  <c r="H29" i="17"/>
  <c r="D65" i="17"/>
  <c r="D97" i="17"/>
  <c r="D89" i="17"/>
  <c r="D81" i="17"/>
  <c r="D73" i="17"/>
  <c r="D57" i="17"/>
  <c r="D49" i="17"/>
  <c r="D41" i="17"/>
  <c r="D33" i="17"/>
  <c r="D101" i="17" s="1"/>
  <c r="H81" i="17" l="1"/>
  <c r="H65" i="17"/>
  <c r="H57" i="17"/>
  <c r="H97" i="17"/>
  <c r="H73" i="17"/>
  <c r="H49" i="17"/>
  <c r="H41" i="17"/>
  <c r="H33" i="17"/>
  <c r="H89" i="17"/>
  <c r="F25" i="17"/>
  <c r="E10" i="12" s="1"/>
  <c r="D25" i="17"/>
  <c r="G10" i="17"/>
  <c r="G11" i="17" s="1"/>
  <c r="G12" i="17" s="1"/>
  <c r="G13" i="17" s="1"/>
  <c r="G14" i="17" s="1"/>
  <c r="G15" i="17" s="1"/>
  <c r="G16" i="17" s="1"/>
  <c r="G17" i="17" s="1"/>
  <c r="G18" i="17" s="1"/>
  <c r="G19" i="17" s="1"/>
  <c r="G20" i="17" s="1"/>
  <c r="G21" i="17" s="1"/>
  <c r="G22" i="17" s="1"/>
  <c r="G23" i="17" s="1"/>
  <c r="E9" i="17"/>
  <c r="H9" i="17" s="1"/>
  <c r="H10" i="17" s="1"/>
  <c r="H11" i="17" s="1"/>
  <c r="H12" i="17" s="1"/>
  <c r="H13" i="17" s="1"/>
  <c r="H14" i="17" s="1"/>
  <c r="H15" i="17" s="1"/>
  <c r="H16" i="17" s="1"/>
  <c r="H17" i="17" s="1"/>
  <c r="H18" i="17" s="1"/>
  <c r="H19" i="17" s="1"/>
  <c r="H20" i="17" s="1"/>
  <c r="H21" i="17" s="1"/>
  <c r="H22" i="17" s="1"/>
  <c r="H23" i="17" s="1"/>
  <c r="A6" i="17"/>
  <c r="D3" i="17"/>
  <c r="A3" i="17"/>
  <c r="A2" i="17"/>
  <c r="A1" i="17"/>
  <c r="H101" i="17" l="1"/>
  <c r="H25" i="17"/>
  <c r="F10" i="12" s="1"/>
  <c r="D10" i="12"/>
  <c r="E10" i="17"/>
  <c r="E11" i="17" s="1"/>
  <c r="E12" i="17" s="1"/>
  <c r="E13" i="17" s="1"/>
  <c r="E14" i="17" s="1"/>
  <c r="E15" i="17" s="1"/>
  <c r="E16" i="17" s="1"/>
  <c r="E17" i="17" s="1"/>
  <c r="E18" i="17" s="1"/>
  <c r="E19" i="17" s="1"/>
  <c r="E20" i="17" s="1"/>
  <c r="D28" i="13"/>
  <c r="H27" i="13"/>
  <c r="F28" i="13"/>
  <c r="H26" i="13"/>
  <c r="H28" i="13" l="1"/>
  <c r="G15" i="14"/>
  <c r="G14" i="14"/>
  <c r="G15" i="10"/>
  <c r="G14" i="10"/>
  <c r="G13" i="14"/>
  <c r="G12" i="14"/>
  <c r="G13" i="10"/>
  <c r="G12" i="10"/>
  <c r="F25" i="16"/>
  <c r="E13" i="8" s="1"/>
  <c r="D25" i="16"/>
  <c r="D13" i="8" s="1"/>
  <c r="G10" i="16"/>
  <c r="G11" i="16" s="1"/>
  <c r="G12" i="16" s="1"/>
  <c r="G13" i="16" s="1"/>
  <c r="G14" i="16" s="1"/>
  <c r="G15" i="16" s="1"/>
  <c r="G16" i="16" s="1"/>
  <c r="G17" i="16" s="1"/>
  <c r="G18" i="16" s="1"/>
  <c r="G19" i="16" s="1"/>
  <c r="G20" i="16" s="1"/>
  <c r="E9" i="16"/>
  <c r="H9" i="16" s="1"/>
  <c r="H10" i="16" s="1"/>
  <c r="H11" i="16" s="1"/>
  <c r="H12" i="16" s="1"/>
  <c r="H13" i="16" s="1"/>
  <c r="H14" i="16" s="1"/>
  <c r="H15" i="16" s="1"/>
  <c r="H16" i="16" s="1"/>
  <c r="H17" i="16" s="1"/>
  <c r="H18" i="16" s="1"/>
  <c r="H19" i="16" s="1"/>
  <c r="H20" i="16" s="1"/>
  <c r="A6" i="16"/>
  <c r="D3" i="16"/>
  <c r="A3" i="16"/>
  <c r="A2" i="16"/>
  <c r="A1" i="16"/>
  <c r="G11" i="14"/>
  <c r="G10" i="14"/>
  <c r="G11" i="10"/>
  <c r="G10" i="10"/>
  <c r="G22" i="15"/>
  <c r="E12" i="12" s="1"/>
  <c r="H9" i="15"/>
  <c r="H10" i="15" s="1"/>
  <c r="H11" i="15" s="1"/>
  <c r="H12" i="15" s="1"/>
  <c r="H13" i="15" s="1"/>
  <c r="H14" i="15" s="1"/>
  <c r="H15" i="15" s="1"/>
  <c r="H16" i="15" s="1"/>
  <c r="H17" i="15" s="1"/>
  <c r="H18" i="15" s="1"/>
  <c r="H19" i="15" s="1"/>
  <c r="H20" i="15" s="1"/>
  <c r="A7" i="15"/>
  <c r="E3" i="15"/>
  <c r="A3" i="15"/>
  <c r="A2" i="15"/>
  <c r="A1" i="15"/>
  <c r="E40" i="14"/>
  <c r="D11" i="12" s="1"/>
  <c r="H10" i="14"/>
  <c r="H11" i="14" s="1"/>
  <c r="H12" i="14" s="1"/>
  <c r="F9" i="14"/>
  <c r="I9" i="14" s="1"/>
  <c r="I10" i="14" s="1"/>
  <c r="I11" i="14" s="1"/>
  <c r="I12" i="14" s="1"/>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A7" i="14"/>
  <c r="E3" i="14"/>
  <c r="A3" i="14"/>
  <c r="A2" i="14"/>
  <c r="A1" i="14"/>
  <c r="F23" i="13"/>
  <c r="E13" i="12" s="1"/>
  <c r="D23" i="13"/>
  <c r="D13" i="12" s="1"/>
  <c r="G10" i="13"/>
  <c r="G11" i="13" s="1"/>
  <c r="G12" i="13" s="1"/>
  <c r="G13" i="13" s="1"/>
  <c r="G14" i="13" s="1"/>
  <c r="G15" i="13" s="1"/>
  <c r="G16" i="13" s="1"/>
  <c r="G17" i="13" s="1"/>
  <c r="G18" i="13" s="1"/>
  <c r="G19" i="13" s="1"/>
  <c r="G20" i="13" s="1"/>
  <c r="G21" i="13" s="1"/>
  <c r="E9" i="13"/>
  <c r="E10" i="13" s="1"/>
  <c r="E11" i="13" s="1"/>
  <c r="E12" i="13" s="1"/>
  <c r="E13" i="13" s="1"/>
  <c r="E14" i="13" s="1"/>
  <c r="E15" i="13" s="1"/>
  <c r="E16" i="13" s="1"/>
  <c r="E17" i="13" s="1"/>
  <c r="E18" i="13" s="1"/>
  <c r="E19" i="13" s="1"/>
  <c r="E20" i="13" s="1"/>
  <c r="E21" i="13" s="1"/>
  <c r="A6" i="13"/>
  <c r="D3" i="13"/>
  <c r="A3" i="13"/>
  <c r="A2" i="13"/>
  <c r="A1" i="13"/>
  <c r="C8" i="8"/>
  <c r="C22" i="8" s="1"/>
  <c r="G22" i="11"/>
  <c r="E12" i="8" s="1"/>
  <c r="H9" i="11"/>
  <c r="H10" i="11" s="1"/>
  <c r="H11" i="11" s="1"/>
  <c r="H12" i="11" s="1"/>
  <c r="H13" i="11" s="1"/>
  <c r="H14" i="11" s="1"/>
  <c r="H15" i="11" s="1"/>
  <c r="H16" i="11" s="1"/>
  <c r="H17" i="11" s="1"/>
  <c r="H18" i="11" s="1"/>
  <c r="H19" i="11" s="1"/>
  <c r="H20" i="11" s="1"/>
  <c r="A7" i="11"/>
  <c r="E3" i="11"/>
  <c r="A3" i="11"/>
  <c r="A2" i="11"/>
  <c r="A1" i="11"/>
  <c r="E40" i="10"/>
  <c r="D11" i="8" s="1"/>
  <c r="F9" i="10"/>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A7" i="10"/>
  <c r="E3" i="10"/>
  <c r="A3" i="10"/>
  <c r="A2" i="10"/>
  <c r="A1" i="10"/>
  <c r="F23" i="9"/>
  <c r="E10" i="8" s="1"/>
  <c r="D23" i="9"/>
  <c r="G10" i="9"/>
  <c r="G11" i="9" s="1"/>
  <c r="G12" i="9" s="1"/>
  <c r="G13" i="9" s="1"/>
  <c r="G14" i="9" s="1"/>
  <c r="G15" i="9" s="1"/>
  <c r="G16" i="9" s="1"/>
  <c r="G17" i="9" s="1"/>
  <c r="G18" i="9" s="1"/>
  <c r="G19" i="9" s="1"/>
  <c r="G20" i="9" s="1"/>
  <c r="G21" i="9" s="1"/>
  <c r="E9" i="9"/>
  <c r="E10" i="9" s="1"/>
  <c r="E11" i="9" s="1"/>
  <c r="E12" i="9" s="1"/>
  <c r="E13" i="9" s="1"/>
  <c r="E14" i="9" s="1"/>
  <c r="E15" i="9" s="1"/>
  <c r="E16" i="9" s="1"/>
  <c r="E17" i="9" s="1"/>
  <c r="E18" i="9" s="1"/>
  <c r="E19" i="9" s="1"/>
  <c r="E20" i="9" s="1"/>
  <c r="E21" i="9" s="1"/>
  <c r="A6" i="9"/>
  <c r="D3" i="9"/>
  <c r="A3" i="9"/>
  <c r="A2" i="9"/>
  <c r="A1" i="9"/>
  <c r="I9" i="10"/>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F40" i="6"/>
  <c r="G37" i="6"/>
  <c r="G36" i="6"/>
  <c r="G35" i="6"/>
  <c r="G34" i="6"/>
  <c r="G33" i="6"/>
  <c r="G32" i="6"/>
  <c r="G31" i="6"/>
  <c r="G30" i="6"/>
  <c r="G29" i="6"/>
  <c r="G28" i="6"/>
  <c r="G27" i="6"/>
  <c r="G26" i="6"/>
  <c r="G25" i="6"/>
  <c r="G24" i="6"/>
  <c r="G23" i="6"/>
  <c r="G22" i="6"/>
  <c r="G21" i="6"/>
  <c r="G20" i="6"/>
  <c r="G19" i="6"/>
  <c r="G18" i="6"/>
  <c r="G17" i="6"/>
  <c r="E40" i="6"/>
  <c r="G15" i="6"/>
  <c r="D4" i="6"/>
  <c r="E6" i="6" s="1"/>
  <c r="J44" i="6" s="1"/>
  <c r="G22" i="5"/>
  <c r="H9" i="5"/>
  <c r="H10" i="5" s="1"/>
  <c r="H11" i="5" s="1"/>
  <c r="H12" i="5" s="1"/>
  <c r="H13" i="5" s="1"/>
  <c r="H14" i="5" s="1"/>
  <c r="H15" i="5" s="1"/>
  <c r="H16" i="5" s="1"/>
  <c r="H17" i="5" s="1"/>
  <c r="H18" i="5" s="1"/>
  <c r="H19" i="5" s="1"/>
  <c r="H20" i="5" s="1"/>
  <c r="A7" i="5"/>
  <c r="E3" i="5"/>
  <c r="A3" i="5"/>
  <c r="A2" i="5"/>
  <c r="A1" i="5"/>
  <c r="G23" i="4"/>
  <c r="E11" i="2" s="1"/>
  <c r="E23" i="4"/>
  <c r="H10" i="4"/>
  <c r="H11" i="4" s="1"/>
  <c r="H12" i="4" s="1"/>
  <c r="H13" i="4" s="1"/>
  <c r="H14" i="4" s="1"/>
  <c r="H15" i="4" s="1"/>
  <c r="H16" i="4" s="1"/>
  <c r="H17" i="4" s="1"/>
  <c r="H18" i="4" s="1"/>
  <c r="H19" i="4" s="1"/>
  <c r="H20" i="4" s="1"/>
  <c r="H21" i="4" s="1"/>
  <c r="F9" i="4"/>
  <c r="F10" i="4" s="1"/>
  <c r="F11" i="4" s="1"/>
  <c r="F12" i="4" s="1"/>
  <c r="F13" i="4" s="1"/>
  <c r="F14" i="4" s="1"/>
  <c r="F15" i="4" s="1"/>
  <c r="F16" i="4" s="1"/>
  <c r="F17" i="4" s="1"/>
  <c r="F18" i="4" s="1"/>
  <c r="F19" i="4" s="1"/>
  <c r="F20" i="4" s="1"/>
  <c r="F21" i="4" s="1"/>
  <c r="A7" i="4"/>
  <c r="E3" i="4"/>
  <c r="A3" i="4"/>
  <c r="A2" i="4"/>
  <c r="A1" i="4"/>
  <c r="F23" i="3"/>
  <c r="E10" i="2" s="1"/>
  <c r="D23" i="3"/>
  <c r="G10" i="3"/>
  <c r="G11" i="3" s="1"/>
  <c r="G12" i="3" s="1"/>
  <c r="G13" i="3" s="1"/>
  <c r="G14" i="3" s="1"/>
  <c r="G15" i="3" s="1"/>
  <c r="G16" i="3" s="1"/>
  <c r="G17" i="3" s="1"/>
  <c r="G18" i="3" s="1"/>
  <c r="G19" i="3" s="1"/>
  <c r="G20" i="3" s="1"/>
  <c r="G21" i="3" s="1"/>
  <c r="E9" i="3"/>
  <c r="H9" i="3" s="1"/>
  <c r="H10" i="3" s="1"/>
  <c r="H11" i="3" s="1"/>
  <c r="H12" i="3" s="1"/>
  <c r="H13" i="3" s="1"/>
  <c r="H14" i="3" s="1"/>
  <c r="H15" i="3" s="1"/>
  <c r="H16" i="3" s="1"/>
  <c r="H17" i="3" s="1"/>
  <c r="H18" i="3" s="1"/>
  <c r="H19" i="3" s="1"/>
  <c r="H20" i="3" s="1"/>
  <c r="H21" i="3" s="1"/>
  <c r="A6" i="3"/>
  <c r="D3" i="3"/>
  <c r="A3" i="3"/>
  <c r="A2" i="3"/>
  <c r="A1" i="3"/>
  <c r="C14" i="2"/>
  <c r="D11" i="2"/>
  <c r="G16" i="6"/>
  <c r="C8" i="12" s="1"/>
  <c r="E10" i="16"/>
  <c r="E11" i="16" s="1"/>
  <c r="E12" i="16" s="1"/>
  <c r="E13" i="16" s="1"/>
  <c r="E14" i="16" s="1"/>
  <c r="E15" i="16" s="1"/>
  <c r="E16" i="16" s="1"/>
  <c r="E17" i="16" s="1"/>
  <c r="E18" i="16" s="1"/>
  <c r="E19" i="16" s="1"/>
  <c r="E20" i="16" s="1"/>
  <c r="H10" i="10"/>
  <c r="H11" i="10" s="1"/>
  <c r="H12" i="10" s="1"/>
  <c r="H13" i="14" l="1"/>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G40" i="14"/>
  <c r="E11" i="12" s="1"/>
  <c r="E20" i="12" s="1"/>
  <c r="I16" i="6" s="1"/>
  <c r="G40" i="10"/>
  <c r="E11" i="8" s="1"/>
  <c r="E22" i="8" s="1"/>
  <c r="I15" i="6" s="1"/>
  <c r="H13" i="10"/>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I23" i="4"/>
  <c r="F11" i="2" s="1"/>
  <c r="G40" i="6"/>
  <c r="E7" i="6" s="1"/>
  <c r="E8" i="6" s="1"/>
  <c r="K42" i="6" s="1"/>
  <c r="E10" i="3"/>
  <c r="E11" i="3" s="1"/>
  <c r="E12" i="3" s="1"/>
  <c r="E13" i="3" s="1"/>
  <c r="E14" i="3" s="1"/>
  <c r="E15" i="3" s="1"/>
  <c r="E16" i="3" s="1"/>
  <c r="E17" i="3" s="1"/>
  <c r="E18" i="3" s="1"/>
  <c r="E19" i="3" s="1"/>
  <c r="E20" i="3" s="1"/>
  <c r="E21" i="3" s="1"/>
  <c r="F10" i="14"/>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D12" i="8"/>
  <c r="F12" i="8" s="1"/>
  <c r="D12" i="12"/>
  <c r="F12" i="12" s="1"/>
  <c r="H23" i="9"/>
  <c r="F10" i="8" s="1"/>
  <c r="H25" i="16"/>
  <c r="F13" i="8" s="1"/>
  <c r="D10" i="8"/>
  <c r="H23" i="13"/>
  <c r="F13" i="12" s="1"/>
  <c r="E12" i="2"/>
  <c r="E14" i="2" s="1"/>
  <c r="D12" i="2"/>
  <c r="F12" i="2" s="1"/>
  <c r="H23" i="3"/>
  <c r="F10" i="2" s="1"/>
  <c r="D10" i="2"/>
  <c r="C20" i="12"/>
  <c r="H9" i="13"/>
  <c r="H10" i="13" s="1"/>
  <c r="H11" i="13" s="1"/>
  <c r="H12" i="13" s="1"/>
  <c r="H13" i="13" s="1"/>
  <c r="H14" i="13" s="1"/>
  <c r="H15" i="13" s="1"/>
  <c r="H16" i="13" s="1"/>
  <c r="H17" i="13" s="1"/>
  <c r="H18" i="13" s="1"/>
  <c r="H19" i="13" s="1"/>
  <c r="H20" i="13" s="1"/>
  <c r="H21" i="13" s="1"/>
  <c r="H9" i="9"/>
  <c r="H10" i="9" s="1"/>
  <c r="H11" i="9" s="1"/>
  <c r="H12" i="9" s="1"/>
  <c r="H13" i="9" s="1"/>
  <c r="H14" i="9" s="1"/>
  <c r="H15" i="9" s="1"/>
  <c r="H16" i="9" s="1"/>
  <c r="H17" i="9" s="1"/>
  <c r="H18" i="9" s="1"/>
  <c r="H19" i="9" s="1"/>
  <c r="H20" i="9" s="1"/>
  <c r="H21" i="9" s="1"/>
  <c r="I9" i="4"/>
  <c r="I10" i="4" s="1"/>
  <c r="I11" i="4" s="1"/>
  <c r="I12" i="4" s="1"/>
  <c r="I13" i="4" s="1"/>
  <c r="I14" i="4" s="1"/>
  <c r="I15" i="4" s="1"/>
  <c r="I16" i="4" s="1"/>
  <c r="I17" i="4" s="1"/>
  <c r="I18" i="4" s="1"/>
  <c r="I19" i="4" s="1"/>
  <c r="I20" i="4" s="1"/>
  <c r="I21" i="4" s="1"/>
  <c r="I40" i="10" l="1"/>
  <c r="F11" i="8" s="1"/>
  <c r="D22" i="8"/>
  <c r="G22" i="8" s="1"/>
  <c r="K15" i="6" s="1"/>
  <c r="I40" i="14"/>
  <c r="N16" i="6" s="1"/>
  <c r="D14" i="2"/>
  <c r="F14" i="2" s="1"/>
  <c r="D20" i="12"/>
  <c r="G20" i="12" s="1"/>
  <c r="K16" i="6" s="1"/>
  <c r="I40" i="6"/>
  <c r="G14" i="2"/>
  <c r="N15" i="6" l="1"/>
  <c r="N40" i="6" s="1"/>
  <c r="K40" i="6"/>
  <c r="K43" i="6" s="1"/>
  <c r="H15" i="6"/>
  <c r="F22" i="8"/>
  <c r="J15" i="6" s="1"/>
  <c r="H16" i="6"/>
  <c r="F11" i="12"/>
  <c r="F20" i="12"/>
  <c r="J16" i="6" s="1"/>
  <c r="J40" i="6" l="1"/>
  <c r="H40" i="6"/>
  <c r="J45" i="6" s="1"/>
  <c r="K45" i="6" s="1"/>
  <c r="K46" i="6" s="1"/>
  <c r="F26" i="27" l="1"/>
  <c r="F27" i="27" s="1"/>
  <c r="H26" i="27" l="1"/>
  <c r="H27" i="27" s="1"/>
  <c r="F26" i="26" l="1"/>
  <c r="F27" i="26" s="1"/>
  <c r="H26" i="26" l="1"/>
  <c r="H27" i="26" s="1"/>
  <c r="F32" i="24" l="1"/>
  <c r="F33" i="24" s="1"/>
  <c r="H32" i="24"/>
  <c r="H33" i="24" s="1"/>
  <c r="F26" i="29" l="1"/>
  <c r="F27" i="29" s="1"/>
  <c r="H26" i="29" l="1"/>
  <c r="H27"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Jurgenson, John [DAS]</author>
    <author>Huggins, Joni [DAS]</author>
  </authors>
  <commentList>
    <comment ref="E15" authorId="0" shapeId="0" xr:uid="{73A8D0E4-F155-4D97-8C66-831F4CA435EF}">
      <text>
        <r>
          <rPr>
            <b/>
            <sz val="9"/>
            <color indexed="81"/>
            <rFont val="Tahoma"/>
            <family val="2"/>
          </rPr>
          <t>Jurgenson, John [DAS]:</t>
        </r>
        <r>
          <rPr>
            <sz val="9"/>
            <color indexed="81"/>
            <rFont val="Tahoma"/>
            <family val="2"/>
          </rPr>
          <t xml:space="preserve">
9436.00 - DAS TH Residence Elevator Replacement
Inbox
Trower, James
12:05 PM (33 minutes ago)
to me
Finance -
Please increase project 9436.00 R51 by $80,000.
Thanks,
James Trower, Licensed Architect, LEED AP
9436.00 - DAS TH Residence Elevator Replacement - R51
$Joni
Trower, James
9:47 AM (34 minutes ago)
to me
Finance -
Please increase funding for project 9436.00 (R51 Funding) by $135,000.
Thanks,
James Trower, Licensed Architect, LEED
9436.00 - DAS TH Residence Elevator Replacement - Funding Increase
$Joni
Trower, James
10:29 AM (5 minutes ago)
to me
Finance -
Please increase the budget for project 9436.00 by $49,500.00.
Thanks,
James Trower, Licensed Architect, LEED AP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 ref="E16" authorId="1" shapeId="0" xr:uid="{A2A56DAE-C54A-4E8A-86F5-11C153244A69}">
      <text>
        <r>
          <rPr>
            <b/>
            <sz val="11"/>
            <color indexed="81"/>
            <rFont val="Tahoma"/>
            <family val="2"/>
          </rPr>
          <t>Huggins, Joni [DAS]:</t>
        </r>
        <r>
          <rPr>
            <sz val="11"/>
            <color indexed="81"/>
            <rFont val="Tahoma"/>
            <family val="2"/>
          </rPr>
          <t xml:space="preserve">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0400-000001000000}">
      <text>
        <r>
          <rPr>
            <b/>
            <sz val="9"/>
            <color indexed="81"/>
            <rFont val="Tahoma"/>
            <family val="2"/>
          </rPr>
          <t>Huggins, Joni [DAS]:</t>
        </r>
        <r>
          <rPr>
            <sz val="9"/>
            <color indexed="81"/>
            <rFont val="Tahoma"/>
            <family val="2"/>
          </rPr>
          <t xml:space="preserve">
Fwd: 9436.00 - DAS TH Residence Elevator Replacement
$Joni
Trower, James
11:27 AM (19 minutes ago)
to me
Finance -
9436.00 - DAS TH Residence Elevator Replacement
Please set up $16,000.00 in PM Time 
Thanks,
James Trower, Licensed Architect, LEED AP</t>
        </r>
      </text>
    </comment>
  </commentList>
</comments>
</file>

<file path=xl/sharedStrings.xml><?xml version="1.0" encoding="utf-8"?>
<sst xmlns="http://schemas.openxmlformats.org/spreadsheetml/2006/main" count="906" uniqueCount="357">
  <si>
    <t>xxx xxxxxxxxxxxxxxxxxxxxx</t>
  </si>
  <si>
    <t>Project # xxxx.xx</t>
  </si>
  <si>
    <t>Program code xxxxxx</t>
  </si>
  <si>
    <t>Major Program xxxx</t>
  </si>
  <si>
    <t>Recap</t>
  </si>
  <si>
    <t xml:space="preserve"> </t>
  </si>
  <si>
    <t>Project Manager - xxxxxxxxxxxxxxxxxxx</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</si>
  <si>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</si>
  <si>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</si>
  <si>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</si>
  <si>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</si>
  <si>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</si>
  <si>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</si>
  <si>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</si>
  <si>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</si>
  <si>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</si>
  <si>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</si>
  <si>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</si>
  <si>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</si>
  <si>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</si>
  <si>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</si>
  <si>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</si>
  <si>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</si>
  <si>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</si>
  <si>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</si>
  <si>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</si>
  <si>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</si>
  <si>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</si>
  <si>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</si>
  <si>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</si>
  <si>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</si>
  <si>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</si>
  <si>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</si>
  <si>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</si>
  <si>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</si>
  <si>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</si>
  <si>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</si>
  <si>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</si>
  <si>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</si>
  <si>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</si>
  <si>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</si>
  <si>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</si>
  <si>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</si>
  <si>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</si>
  <si>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</si>
  <si>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</si>
  <si>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</si>
  <si>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</si>
  <si>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</si>
  <si>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</si>
  <si>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</si>
  <si>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</si>
  <si>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</si>
  <si>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</si>
  <si>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</si>
  <si>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</si>
  <si>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</si>
  <si>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</si>
  <si>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</si>
  <si>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</si>
  <si>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</si>
  <si>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</si>
  <si>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</si>
  <si>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</si>
  <si>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</si>
  <si>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</si>
  <si>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Acct. Codes-0017-335-2000</t>
  </si>
  <si>
    <r>
      <t>Acct. Codes-0017-335-2000-</t>
    </r>
    <r>
      <rPr>
        <b/>
        <sz val="11"/>
        <color indexed="10"/>
        <rFont val="Arial"/>
        <family val="2"/>
      </rPr>
      <t>xxxx</t>
    </r>
  </si>
  <si>
    <t>Acct. Codes-0017-335-2000-xxxx</t>
  </si>
  <si>
    <t>Total Appropriation  R51</t>
  </si>
  <si>
    <t>9436.00</t>
  </si>
  <si>
    <t>DAS TH Residence Elevator Replacement</t>
  </si>
  <si>
    <t>James T.</t>
  </si>
  <si>
    <t>Project # 9436.00</t>
  </si>
  <si>
    <t>Program code 943600</t>
  </si>
  <si>
    <t>Project Manager - James T.</t>
  </si>
  <si>
    <t>Major Program 4D03</t>
  </si>
  <si>
    <t>eDAS E2FZ</t>
  </si>
  <si>
    <t>9440.00</t>
  </si>
  <si>
    <t>DAS CC Elevator Replacements</t>
  </si>
  <si>
    <t>Brad T.</t>
  </si>
  <si>
    <t>Project # 9440.00</t>
  </si>
  <si>
    <t>Program code 944000</t>
  </si>
  <si>
    <t>Project Manager - Brad T.</t>
  </si>
  <si>
    <t>eDAS 730O</t>
  </si>
  <si>
    <t>DCI Group</t>
  </si>
  <si>
    <t>Acct. Codes-0017-335-2000-9255</t>
  </si>
  <si>
    <t>PO 33525257906</t>
  </si>
  <si>
    <t>PO Procore</t>
  </si>
  <si>
    <t>Vendor:  00003025029</t>
  </si>
  <si>
    <t>RFP1821335228-DC11012021</t>
  </si>
  <si>
    <t>Activity code:  CMGR</t>
  </si>
  <si>
    <t>IET DAS202503115300001</t>
  </si>
  <si>
    <t>OPN Architects</t>
  </si>
  <si>
    <t>Acct. Codes-0017-335-2000-9260</t>
  </si>
  <si>
    <t>Vendor:  00003035830</t>
  </si>
  <si>
    <t>RFP943600-01</t>
  </si>
  <si>
    <t>Activity code:  DSGN</t>
  </si>
  <si>
    <t>PO 33525291901</t>
  </si>
  <si>
    <t>PRC 3352525PA7906</t>
  </si>
  <si>
    <t>Inv. 24-039 PC-01</t>
  </si>
  <si>
    <t xml:space="preserve">Finance Support for September 1-30,2024 </t>
  </si>
  <si>
    <t>DAS Services for September 1-30,2024</t>
  </si>
  <si>
    <t>IET DAS202504115300001</t>
  </si>
  <si>
    <t xml:space="preserve">Finance Support for October 1-31,2024 </t>
  </si>
  <si>
    <t>DAS Services for October 1-31,2024</t>
  </si>
  <si>
    <t>PRC 3352525PB7906</t>
  </si>
  <si>
    <t>Inv. 24-039 PC 02</t>
  </si>
  <si>
    <t>IET DAS202505115300001</t>
  </si>
  <si>
    <t>Finance Support for November 1-30 2024</t>
  </si>
  <si>
    <t>DAS Support for November 1-30 2024</t>
  </si>
  <si>
    <t xml:space="preserve">Totals: </t>
  </si>
  <si>
    <t>PRC 3352529PA1901</t>
  </si>
  <si>
    <t>Inv. 24835000-1</t>
  </si>
  <si>
    <t>Activity code: CMGR</t>
  </si>
  <si>
    <t>PO 33525313901</t>
  </si>
  <si>
    <t>CM Staff Hours</t>
  </si>
  <si>
    <t>Reimbursables Expense</t>
  </si>
  <si>
    <t>PO 33525353900</t>
  </si>
  <si>
    <t>RPF94400-01</t>
  </si>
  <si>
    <t>DSGN</t>
  </si>
  <si>
    <t>50% CDs</t>
  </si>
  <si>
    <t>Final CDs</t>
  </si>
  <si>
    <t>Bid</t>
  </si>
  <si>
    <t>Construction Admin</t>
  </si>
  <si>
    <t>Grimes Building Freight Elevator #113</t>
  </si>
  <si>
    <t>Hoover bldg Freight Elevator #1494</t>
  </si>
  <si>
    <t>IA Wrokforce Development Elevator #115</t>
  </si>
  <si>
    <t>IA Workforce Development #117</t>
  </si>
  <si>
    <t>Lucas Bldg Passenger Hydraulic Elevator #4174</t>
  </si>
  <si>
    <t>Jesse Parker Bldg Passenger Hydraulic Elevator #120</t>
  </si>
  <si>
    <t>Jesse Parker Bldg Passenger Hydraulic Elevator #2502</t>
  </si>
  <si>
    <t>Oran Pape Bldg Freight Traction Elevator #11589</t>
  </si>
  <si>
    <t>Total:</t>
  </si>
  <si>
    <t>CO #1</t>
  </si>
  <si>
    <t>PRC 3352531PA3901</t>
  </si>
  <si>
    <t>Inv. 24-044 PC 01</t>
  </si>
  <si>
    <t>PRC 3352525PC7906</t>
  </si>
  <si>
    <t>Inv. 24-039 PC 03</t>
  </si>
  <si>
    <t>2024 Iowa Acts, Chapter 1155, Section 1 (FY2025)</t>
  </si>
  <si>
    <t>IET DAS202506115300001</t>
  </si>
  <si>
    <t>Finance Support for December 1-31, 2024</t>
  </si>
  <si>
    <t>DAS Support for December 1-31, 2024</t>
  </si>
  <si>
    <t>PRC 3352525PD7906</t>
  </si>
  <si>
    <t>Inv. 24-039 PC 04</t>
  </si>
  <si>
    <t>PRC 3352529PB1901</t>
  </si>
  <si>
    <t>Inv. 24835000-2</t>
  </si>
  <si>
    <t>PRC 3352531PB3901</t>
  </si>
  <si>
    <t>Inv. 24-044 PC 02</t>
  </si>
  <si>
    <t>PRC 3352535PA3900</t>
  </si>
  <si>
    <t>Inv. 24850000-1</t>
  </si>
  <si>
    <t>Lucas Building Freight Traction Elevator #110</t>
  </si>
  <si>
    <t>PRC 3352531PC3901</t>
  </si>
  <si>
    <t>Inv. 24-044 PC 03</t>
  </si>
  <si>
    <t>IET DAS202507115300001</t>
  </si>
  <si>
    <t>Finance Support for January 1-31, 2025</t>
  </si>
  <si>
    <t>DAS Support for January 1-31, 2025</t>
  </si>
  <si>
    <t>PRC 3352525PE7906</t>
  </si>
  <si>
    <t>Inv. 24-039 PC 05</t>
  </si>
  <si>
    <t>Bergstrom Construction</t>
  </si>
  <si>
    <t>Vendor:  00002110114</t>
  </si>
  <si>
    <t>RFB943600-01</t>
  </si>
  <si>
    <t>Activity code:  BRUM</t>
  </si>
  <si>
    <t>PO 33525052907</t>
  </si>
  <si>
    <t>Shipping Code:  003</t>
  </si>
  <si>
    <t>Schumacher Elevator</t>
  </si>
  <si>
    <t>Vendor:  00002108471</t>
  </si>
  <si>
    <t>PO 33525062903</t>
  </si>
  <si>
    <t>All Iowa Mechanical</t>
  </si>
  <si>
    <t>Vendor:  VS000009118</t>
  </si>
  <si>
    <t>PO 33525063904</t>
  </si>
  <si>
    <t>Air Con Electric</t>
  </si>
  <si>
    <t>Vendor:  00003095844</t>
  </si>
  <si>
    <t>RFB #943600-01</t>
  </si>
  <si>
    <t>PO 33525063905</t>
  </si>
  <si>
    <t>PRC 3352529PC1901</t>
  </si>
  <si>
    <t>Inv. 24835000-3</t>
  </si>
  <si>
    <t>PRC 3352535PB3900</t>
  </si>
  <si>
    <t>Inv. 24850000-2</t>
  </si>
  <si>
    <t>IET DAS202508115300001</t>
  </si>
  <si>
    <t>Finance Support for February 2-28, 2025</t>
  </si>
  <si>
    <t>DAS Support for February 2-28, 2025</t>
  </si>
  <si>
    <t>PRC 3352531PD3901</t>
  </si>
  <si>
    <t>Inv. 24-044 PC 04</t>
  </si>
  <si>
    <t>PRC 3352529PD1901</t>
  </si>
  <si>
    <t>Inv. 24835000-4</t>
  </si>
  <si>
    <t>Retainage</t>
  </si>
  <si>
    <t>IET DAS202509115300001</t>
  </si>
  <si>
    <t>Finance Support for March 01-31, 2025</t>
  </si>
  <si>
    <t>DAS Support for March 01-31, 2025</t>
  </si>
  <si>
    <t>PRC 3352529PE1901</t>
  </si>
  <si>
    <t>Inv. 24835000-5</t>
  </si>
  <si>
    <t>DCI Group (2)</t>
  </si>
  <si>
    <t>PO 33525105907</t>
  </si>
  <si>
    <t>Project Fee</t>
  </si>
  <si>
    <t>PRC 3352535PC3900</t>
  </si>
  <si>
    <t>Inv. 24850000-3</t>
  </si>
  <si>
    <t>PRC 3352531PE3901</t>
  </si>
  <si>
    <t>Inv. 24-044 PC 05</t>
  </si>
  <si>
    <t>PRC 3352525PF7906</t>
  </si>
  <si>
    <t>Inv. 24-039 PC 06 FINAL INV</t>
  </si>
  <si>
    <t>C</t>
  </si>
  <si>
    <t>FINAL</t>
  </si>
  <si>
    <t>PRC 33525114400</t>
  </si>
  <si>
    <t>9500</t>
  </si>
  <si>
    <t>CNST</t>
  </si>
  <si>
    <t>Beeline BlueV#( 00002108204)</t>
  </si>
  <si>
    <t>Inv. INV046722</t>
  </si>
  <si>
    <t>PRC 33525115903</t>
  </si>
  <si>
    <t>Inv. INV048364</t>
  </si>
  <si>
    <t>Beeline &amp; Blue V#(00002108204)</t>
  </si>
  <si>
    <t>Johnson Controls</t>
  </si>
  <si>
    <t>Vendor:  00002102328</t>
  </si>
  <si>
    <t>MA24023</t>
  </si>
  <si>
    <t>DO Procore</t>
  </si>
  <si>
    <t>DO 33525127901</t>
  </si>
  <si>
    <t>PRC 3352531PF3901</t>
  </si>
  <si>
    <t>Inv. 24-044 PC 06 FINAL</t>
  </si>
  <si>
    <t>PRC 3352529PF1901</t>
  </si>
  <si>
    <t>Inv. 24835000-6</t>
  </si>
  <si>
    <t>PRC 3352510PA5907</t>
  </si>
  <si>
    <t>Inv. 24-032 CA 01</t>
  </si>
  <si>
    <t>IET DAS202510115300001</t>
  </si>
  <si>
    <t>Finance Support for April 01-30, 2025</t>
  </si>
  <si>
    <t>DAS Support for April 01-30, 2025</t>
  </si>
  <si>
    <t>PRC 3352535PD3900</t>
  </si>
  <si>
    <t>Inv. 24850000-4</t>
  </si>
  <si>
    <t>PO 33525134912</t>
  </si>
  <si>
    <t>X674</t>
  </si>
  <si>
    <t>CM Services</t>
  </si>
  <si>
    <t>Fee</t>
  </si>
  <si>
    <t>Van Maanen Electrical</t>
  </si>
  <si>
    <t>Vendor:  00002091370</t>
  </si>
  <si>
    <t>RFB944000-01</t>
  </si>
  <si>
    <t>Activity code: BRUM</t>
  </si>
  <si>
    <t>Split w/ X674</t>
  </si>
  <si>
    <t>Shipping Code:  035</t>
  </si>
  <si>
    <t>PO 33525136906</t>
  </si>
  <si>
    <t>Proctor Mechanical</t>
  </si>
  <si>
    <t>Vendor:  00003166259</t>
  </si>
  <si>
    <t>PO 33525136907</t>
  </si>
  <si>
    <t>Johnson Controls (2)</t>
  </si>
  <si>
    <t>MA 24023</t>
  </si>
  <si>
    <t>DO 33525141901</t>
  </si>
  <si>
    <t>Vendor:  00002139022</t>
  </si>
  <si>
    <t>Metro Elevator Great Plains</t>
  </si>
  <si>
    <t>PO 33525148402</t>
  </si>
  <si>
    <t>Vendor:  00003228062</t>
  </si>
  <si>
    <t>PRC 3352505PA2907</t>
  </si>
  <si>
    <t>Inv. 8780-1</t>
  </si>
  <si>
    <t>PRC 3352506PA3905</t>
  </si>
  <si>
    <t>Inv. 1874</t>
  </si>
  <si>
    <t>IET DAS202511115300001</t>
  </si>
  <si>
    <t>Finance Support for May 01-31, 2025</t>
  </si>
  <si>
    <t>DAS Support for May 01-31, 2025</t>
  </si>
  <si>
    <t>PRC 3352510PB5907</t>
  </si>
  <si>
    <t>Inv. 24-032 CA 02</t>
  </si>
  <si>
    <t>PRC 3352529PG1901</t>
  </si>
  <si>
    <t>Inv. 24835000-7</t>
  </si>
  <si>
    <t>PRC 3352513PA4912</t>
  </si>
  <si>
    <t>Vendor used 23-050 CA 0X in previous tab, add A to the end</t>
  </si>
  <si>
    <t>Inv. 23-050 CA 01A(100% to 2000)</t>
  </si>
  <si>
    <t>PRC 3352535PE3900</t>
  </si>
  <si>
    <t>Inv. 24850000-5</t>
  </si>
  <si>
    <t>PRC 3352513PA6907</t>
  </si>
  <si>
    <t>Inv. 8805-1</t>
  </si>
  <si>
    <t>Per SAE two documents must be processed because this PO has two departments</t>
  </si>
  <si>
    <t>IET DAS202512115300001</t>
  </si>
  <si>
    <t>Finance Support for June 01-30, 2025</t>
  </si>
  <si>
    <t>DAS Support for June 01-30, 2025</t>
  </si>
  <si>
    <t>PRC 3352513PA6906</t>
  </si>
  <si>
    <t>Inv. 7629.0</t>
  </si>
  <si>
    <t>PRC 3352529PH1901</t>
  </si>
  <si>
    <t>Inv. 24835000-8</t>
  </si>
  <si>
    <t>PRC 3352513PB4912</t>
  </si>
  <si>
    <t>Inv. 24-044 CA 02A(100% to 2000)</t>
  </si>
  <si>
    <t>PRC 3352535PF3900</t>
  </si>
  <si>
    <t>Inv. 24850000-6</t>
  </si>
  <si>
    <t>PRC 3352514PA8402</t>
  </si>
  <si>
    <t>Inv. 9440.00-01</t>
  </si>
  <si>
    <t>Must be submitted in 2 documents per SAE</t>
  </si>
  <si>
    <t>PRC 3352506PA3904</t>
  </si>
  <si>
    <t>Inv. 9436.00 - 01</t>
  </si>
  <si>
    <t>PRC 3352506PB3905</t>
  </si>
  <si>
    <t>Inv. 1893</t>
  </si>
  <si>
    <t>PRC 3352510PC5907</t>
  </si>
  <si>
    <t>Inv. 24-032 CA 03</t>
  </si>
  <si>
    <t>Inv. 90654107</t>
  </si>
  <si>
    <t>PRC 3352506PA2903</t>
  </si>
  <si>
    <t>FY25</t>
  </si>
  <si>
    <t>PO 33526291901</t>
  </si>
  <si>
    <t>Roll to FY26</t>
  </si>
  <si>
    <t>PO 33526052907</t>
  </si>
  <si>
    <t>PO 33526062903</t>
  </si>
  <si>
    <t>PO 33526063904</t>
  </si>
  <si>
    <t>PO 33526063905</t>
  </si>
  <si>
    <t>PO 33526105907</t>
  </si>
  <si>
    <t>PO 33526141901</t>
  </si>
  <si>
    <t>PO 33526353900</t>
  </si>
  <si>
    <t>PO 33526134912</t>
  </si>
  <si>
    <t>PO 33526136906</t>
  </si>
  <si>
    <t>PO 33526136907</t>
  </si>
  <si>
    <t>PO 33526148402</t>
  </si>
  <si>
    <t>PO 33525136905</t>
  </si>
  <si>
    <t>PO 33526136905</t>
  </si>
  <si>
    <t>PO 33526127901</t>
  </si>
  <si>
    <t>PRC 3352613PC4912</t>
  </si>
  <si>
    <t>Inv. 24-044 CA 03(Split w X674)</t>
  </si>
  <si>
    <t>Inv. 24850000-7</t>
  </si>
  <si>
    <t>PRC 3352635PG3900</t>
  </si>
  <si>
    <t>PRC 3352610PD5907</t>
  </si>
  <si>
    <t>Inv. 24-032 CA 04</t>
  </si>
  <si>
    <t>PRC 3352629PI1901</t>
  </si>
  <si>
    <t>Inv. 24835000-9</t>
  </si>
  <si>
    <t>CDE 33526246821</t>
  </si>
  <si>
    <t>Move expense from 9997.26</t>
  </si>
  <si>
    <t>PRC 3352635PH3900</t>
  </si>
  <si>
    <t>Inv. 24850000-8</t>
  </si>
  <si>
    <t>PRC 3352629PJ1901</t>
  </si>
  <si>
    <t>Inv. 24835000-10</t>
  </si>
  <si>
    <t>IET DAS202602115300001</t>
  </si>
  <si>
    <t>Finance Support for August 01-31, 2025</t>
  </si>
  <si>
    <t>DAS Support for August 01-31, 2025</t>
  </si>
  <si>
    <t>PRC 3352606PB2903</t>
  </si>
  <si>
    <t>Inv. 90657357</t>
  </si>
  <si>
    <t>Inv. 8780-2</t>
  </si>
  <si>
    <t>PRC 3352605PB2907</t>
  </si>
  <si>
    <t>PRC 3352610PE5907</t>
  </si>
  <si>
    <t>Inv. 24-032 CA 05</t>
  </si>
  <si>
    <t>PRC 3352613PD4912</t>
  </si>
  <si>
    <t>Inv. 24-044 CA 04(Split w X674)</t>
  </si>
  <si>
    <t>PRC 3352606PC2903</t>
  </si>
  <si>
    <t>Inv. 90660736</t>
  </si>
  <si>
    <t>PRC 3352635PI3900</t>
  </si>
  <si>
    <t>Inv. 24850000-9</t>
  </si>
  <si>
    <t>IET DAS202603115300001</t>
  </si>
  <si>
    <t>2507</t>
  </si>
  <si>
    <t>Finance Support for September 01-30, 2025</t>
  </si>
  <si>
    <t>DAS Support for September 01-30, 2025</t>
  </si>
  <si>
    <t>PRC 3352629PK1901</t>
  </si>
  <si>
    <t>Inv. 24835000-11</t>
  </si>
  <si>
    <t>PRC 3352610PF5907</t>
  </si>
  <si>
    <t>Inv. 24-032 CA 06</t>
  </si>
  <si>
    <t>`</t>
  </si>
  <si>
    <t>PRC 3352606PC3905</t>
  </si>
  <si>
    <t>Inv. 1904</t>
  </si>
  <si>
    <t>PRC 3352613PE4912</t>
  </si>
  <si>
    <t>Inv. 24-044 CA 05(Split w X674)</t>
  </si>
  <si>
    <t>PRC 3352614PB8402</t>
  </si>
  <si>
    <t>Inv. 9440.00-02</t>
  </si>
  <si>
    <t>Shipping Code:</t>
  </si>
  <si>
    <t>PRC 3352606PD3905</t>
  </si>
  <si>
    <t>Inv. 1923</t>
  </si>
  <si>
    <t>PRC 3352614PA1901</t>
  </si>
  <si>
    <t>Inv. 41846815</t>
  </si>
  <si>
    <t>PRC 3352606PB3904</t>
  </si>
  <si>
    <t>Inv. 9436.00-02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</si>
</sst>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m/dd/yy"/>
    <numFmt numFmtId="165" formatCode="&quot;$&quot;#,##0.00"/>
    <numFmt numFmtId="166" formatCode="mm/dd/yy;@"/>
    <numFmt numFmtId="167" formatCode="0.00_);[Red]\(0.00\)"/>
  </numFmts>
  <fonts count="42" x14ac:knownFonts="1">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indexed="14"/>
      <name val="Arial"/>
      <family val="2"/>
    </font>
    <font>
      <b/>
      <sz val="11"/>
      <name val="Arial"/>
      <family val="2"/>
    </font>
    <font>
      <b/>
      <sz val="11"/>
      <color indexed="10"/>
      <name val="Arial"/>
      <family val="2"/>
    </font>
    <font>
      <sz val="10"/>
      <color indexed="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theme="1"/>
      <name val="Calibri"/>
      <family val="2"/>
      <scheme val="minor"/>
    </font>
    <font>
      <b/>
      <sz val="12"/>
      <color rgb="FF92D050"/>
      <name val="Arial"/>
      <family val="2"/>
    </font>
    <font>
      <b/>
      <sz val="12"/>
      <color rgb="FFFF0000"/>
      <name val="Arial"/>
      <family val="2"/>
    </font>
    <font>
      <b/>
      <sz val="10"/>
      <color rgb="FFFF0000"/>
      <name val="Arial"/>
      <family val="2"/>
    </font>
    <font>
      <i/>
      <sz val="12"/>
      <color theme="3"/>
      <name val="Arial"/>
      <family val="2"/>
    </font>
    <font>
      <sz val="10"/>
      <color rgb="FFFF000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theme="1"/>
      <name val="Arial"/>
      <family val="2"/>
    </font>
    <font>
      <i/>
      <sz val="8"/>
      <color theme="0" tint="-0.249977111117893"/>
      <name val="Arial"/>
      <family val="2"/>
    </font>
    <font>
      <sz val="10"/>
      <color rgb="FF000000"/>
      <name val="Arial"/>
      <family val="2"/>
    </font>
    <font>
      <sz val="10"/>
      <color rgb="FF222222"/>
      <name val="Arial"/>
      <family val="2"/>
    </font>
    <font>
      <sz val="10"/>
      <color rgb="FF343739"/>
      <name val="Arial"/>
      <family val="2"/>
    </font>
    <font>
      <b/>
      <sz val="10"/>
      <color rgb="FF0000CC"/>
      <name val="Arial"/>
      <family val="2"/>
    </font>
    <font>
      <sz val="11"/>
      <name val="Calibri"/>
      <family val="2"/>
      <scheme val="minor"/>
    </font>
    <font>
      <sz val="10"/>
      <name val="Calibri"/>
      <family val="2"/>
      <scheme val="minor"/>
    </font>
    <font>
      <b/>
      <sz val="11"/>
      <color rgb="FFFF0000"/>
      <name val="Arial"/>
      <family val="2"/>
    </font>
    <font>
      <i/>
      <sz val="12"/>
      <color rgb="FFFF0000"/>
      <name val="Arial"/>
      <family val="2"/>
    </font>
    <font>
      <sz val="11"/>
      <color indexed="81"/>
      <name val="Tahoma"/>
      <family val="2"/>
    </font>
    <font>
      <b/>
      <sz val="11"/>
      <color indexed="81"/>
      <name val="Tahoma"/>
      <family val="2"/>
    </font>
    <font>
      <b/>
      <sz val="10"/>
      <color indexed="10"/>
      <name val="Arial"/>
      <family val="2"/>
    </font>
    <font>
      <sz val="11"/>
      <color rgb="FF000000"/>
      <name val="Calibri"/>
      <family val="2"/>
    </font>
    <font>
      <sz val="12"/>
      <color indexed="10"/>
      <name val="Arial"/>
      <family val="2"/>
    </font>
  </fonts>
  <fills count="7">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0" fontId="5" fillId="0" borderId="0"/>
    <xf numFmtId="0" fontId="1" fillId="0" borderId="0"/>
    <xf numFmtId="0" fontId="1" fillId="0" borderId="0"/>
  </cellStyleXfs>
  <cellXfs count="308">
    <xf numFmtId="0" fontId="0" fillId="0" borderId="0" xfId="0"/>
    <xf numFmtId="0" fontId="2" fillId="0" borderId="0" xfId="6" applyFont="1"/>
    <xf numFmtId="0" fontId="3" fillId="0" borderId="0" xfId="6" applyFont="1"/>
    <xf numFmtId="0" fontId="4" fillId="0" borderId="0" xfId="6" applyFont="1"/>
    <xf numFmtId="4" fontId="5" fillId="0" borderId="0" xfId="6" applyNumberFormat="1" applyFont="1"/>
    <xf numFmtId="0" fontId="5" fillId="0" borderId="0" xfId="6" applyFont="1"/>
    <xf numFmtId="164" fontId="6" fillId="0" borderId="0" xfId="4" applyNumberFormat="1" applyFont="1" applyFill="1"/>
    <xf numFmtId="1" fontId="7" fillId="0" borderId="0" xfId="4" applyNumberFormat="1" applyFont="1" applyAlignment="1">
      <alignment horizontal="left"/>
    </xf>
    <xf numFmtId="4" fontId="17" fillId="0" borderId="0" xfId="6" applyNumberFormat="1" applyFont="1"/>
    <xf numFmtId="40" fontId="8" fillId="0" borderId="0" xfId="4" applyNumberFormat="1" applyFont="1"/>
    <xf numFmtId="164" fontId="4" fillId="0" borderId="0" xfId="6" applyNumberFormat="1" applyFont="1"/>
    <xf numFmtId="164" fontId="4" fillId="0" borderId="0" xfId="4" applyNumberFormat="1" applyFont="1"/>
    <xf numFmtId="0" fontId="2" fillId="0" borderId="0" xfId="6" applyFont="1" applyBorder="1"/>
    <xf numFmtId="164" fontId="4" fillId="0" borderId="0" xfId="4" applyNumberFormat="1" applyFont="1" applyBorder="1"/>
    <xf numFmtId="0" fontId="4" fillId="0" borderId="0" xfId="6" applyFont="1" applyBorder="1" applyAlignment="1">
      <alignment wrapText="1"/>
    </xf>
    <xf numFmtId="4" fontId="2" fillId="0" borderId="0" xfId="6" applyNumberFormat="1" applyFont="1" applyBorder="1"/>
    <xf numFmtId="4" fontId="5" fillId="0" borderId="0" xfId="6" applyNumberFormat="1" applyFont="1" applyBorder="1"/>
    <xf numFmtId="0" fontId="5" fillId="0" borderId="0" xfId="6" applyFont="1" applyBorder="1"/>
    <xf numFmtId="0" fontId="2" fillId="0" borderId="1" xfId="6" applyFont="1" applyBorder="1"/>
    <xf numFmtId="0" fontId="2" fillId="0" borderId="1" xfId="6" applyFont="1" applyBorder="1" applyAlignment="1">
      <alignment horizontal="center" wrapText="1"/>
    </xf>
    <xf numFmtId="40" fontId="2" fillId="0" borderId="1" xfId="6" applyNumberFormat="1" applyFont="1" applyBorder="1"/>
    <xf numFmtId="40" fontId="2" fillId="0" borderId="1" xfId="6" applyNumberFormat="1" applyFont="1" applyBorder="1" applyAlignment="1">
      <alignment horizontal="center"/>
    </xf>
    <xf numFmtId="40" fontId="2" fillId="0" borderId="1" xfId="6" applyNumberFormat="1" applyFont="1" applyBorder="1" applyAlignment="1">
      <alignment horizontal="center" wrapText="1"/>
    </xf>
    <xf numFmtId="4" fontId="2" fillId="0" borderId="0" xfId="6" applyNumberFormat="1" applyFont="1" applyAlignment="1">
      <alignment horizontal="center"/>
    </xf>
    <xf numFmtId="40" fontId="5" fillId="0" borderId="0" xfId="6" applyNumberFormat="1" applyFont="1" applyAlignment="1">
      <alignment horizontal="center"/>
    </xf>
    <xf numFmtId="40" fontId="5" fillId="0" borderId="0" xfId="6" applyNumberFormat="1" applyFont="1"/>
    <xf numFmtId="0" fontId="5" fillId="0" borderId="0" xfId="6" applyFont="1" applyAlignment="1">
      <alignment horizontal="center"/>
    </xf>
    <xf numFmtId="4" fontId="5" fillId="0" borderId="0" xfId="6" applyNumberFormat="1" applyFont="1" applyAlignment="1">
      <alignment horizontal="center"/>
    </xf>
    <xf numFmtId="40" fontId="5" fillId="0" borderId="0" xfId="4" applyNumberFormat="1" applyFont="1" applyAlignment="1">
      <alignment horizontal="center"/>
    </xf>
    <xf numFmtId="40" fontId="5" fillId="0" borderId="0" xfId="6" applyNumberFormat="1" applyFont="1" applyBorder="1"/>
    <xf numFmtId="0" fontId="9" fillId="0" borderId="0" xfId="6" applyFont="1" applyBorder="1"/>
    <xf numFmtId="0" fontId="9" fillId="0" borderId="2" xfId="6" applyFont="1" applyBorder="1" applyAlignment="1">
      <alignment horizontal="left"/>
    </xf>
    <xf numFmtId="40" fontId="9" fillId="0" borderId="2" xfId="6" applyNumberFormat="1" applyFont="1" applyBorder="1"/>
    <xf numFmtId="0" fontId="1" fillId="0" borderId="0" xfId="6"/>
    <xf numFmtId="40" fontId="3" fillId="0" borderId="0" xfId="4" applyNumberFormat="1" applyFont="1" applyBorder="1"/>
    <xf numFmtId="0" fontId="3" fillId="0" borderId="0" xfId="4" applyFont="1"/>
    <xf numFmtId="0" fontId="18" fillId="0" borderId="0" xfId="6" applyFont="1"/>
    <xf numFmtId="164" fontId="18" fillId="0" borderId="0" xfId="4" applyNumberFormat="1" applyFont="1"/>
    <xf numFmtId="0" fontId="8" fillId="0" borderId="0" xfId="4" applyFont="1"/>
    <xf numFmtId="49" fontId="8" fillId="0" borderId="0" xfId="4" applyNumberFormat="1" applyFont="1" applyBorder="1" applyAlignment="1">
      <alignment horizontal="left"/>
    </xf>
    <xf numFmtId="40" fontId="3" fillId="0" borderId="0" xfId="4" applyNumberFormat="1" applyFont="1"/>
    <xf numFmtId="164" fontId="9" fillId="0" borderId="0" xfId="0" applyNumberFormat="1" applyFont="1"/>
    <xf numFmtId="0" fontId="4" fillId="0" borderId="0" xfId="4" applyFont="1"/>
    <xf numFmtId="0" fontId="9" fillId="0" borderId="0" xfId="4" applyFont="1"/>
    <xf numFmtId="0" fontId="19" fillId="0" borderId="0" xfId="4" applyFont="1"/>
    <xf numFmtId="0" fontId="5" fillId="0" borderId="0" xfId="4" applyFont="1"/>
    <xf numFmtId="40" fontId="4" fillId="0" borderId="0" xfId="4" applyNumberFormat="1" applyFont="1" applyFill="1" applyBorder="1"/>
    <xf numFmtId="40" fontId="4" fillId="0" borderId="0" xfId="4" applyNumberFormat="1" applyFont="1" applyBorder="1"/>
    <xf numFmtId="0" fontId="4" fillId="0" borderId="0" xfId="4" applyFont="1" applyAlignment="1">
      <alignment horizontal="right"/>
    </xf>
    <xf numFmtId="40" fontId="20" fillId="0" borderId="0" xfId="4" applyNumberFormat="1" applyFont="1" applyFill="1" applyBorder="1"/>
    <xf numFmtId="0" fontId="21" fillId="0" borderId="0" xfId="4" applyFont="1"/>
    <xf numFmtId="40" fontId="19" fillId="0" borderId="0" xfId="4" applyNumberFormat="1" applyFont="1" applyFill="1" applyBorder="1"/>
    <xf numFmtId="164" fontId="4" fillId="0" borderId="0" xfId="4" applyNumberFormat="1" applyFont="1" applyBorder="1" applyAlignment="1">
      <alignment horizontal="left"/>
    </xf>
    <xf numFmtId="40" fontId="19" fillId="0" borderId="0" xfId="4" applyNumberFormat="1" applyFont="1"/>
    <xf numFmtId="40" fontId="19" fillId="0" borderId="0" xfId="4" applyNumberFormat="1" applyFont="1" applyBorder="1"/>
    <xf numFmtId="49" fontId="4" fillId="0" borderId="1" xfId="4" applyNumberFormat="1" applyFont="1" applyBorder="1" applyAlignment="1">
      <alignment horizontal="center" wrapText="1"/>
    </xf>
    <xf numFmtId="164" fontId="4" fillId="0" borderId="1" xfId="4" applyNumberFormat="1" applyFont="1" applyBorder="1" applyAlignment="1">
      <alignment horizontal="center"/>
    </xf>
    <xf numFmtId="0" fontId="4" fillId="0" borderId="1" xfId="4" applyFont="1" applyBorder="1" applyAlignment="1">
      <alignment horizontal="center"/>
    </xf>
    <xf numFmtId="40" fontId="4" fillId="0" borderId="1" xfId="4" applyNumberFormat="1" applyFont="1" applyBorder="1" applyAlignment="1">
      <alignment horizontal="center" wrapText="1"/>
    </xf>
    <xf numFmtId="49" fontId="5" fillId="0" borderId="0" xfId="4" applyNumberFormat="1" applyFont="1" applyBorder="1" applyAlignment="1"/>
    <xf numFmtId="164" fontId="5" fillId="0" borderId="0" xfId="4" applyNumberFormat="1" applyFont="1" applyAlignment="1">
      <alignment horizontal="center"/>
    </xf>
    <xf numFmtId="164" fontId="5" fillId="0" borderId="0" xfId="4" applyNumberFormat="1" applyFont="1" applyAlignment="1">
      <alignment horizontal="left"/>
    </xf>
    <xf numFmtId="4" fontId="2" fillId="0" borderId="0" xfId="4" applyNumberFormat="1" applyFont="1" applyAlignment="1">
      <alignment horizontal="center"/>
    </xf>
    <xf numFmtId="4" fontId="5" fillId="0" borderId="0" xfId="4" applyNumberFormat="1" applyFont="1" applyAlignment="1">
      <alignment horizontal="center"/>
    </xf>
    <xf numFmtId="4" fontId="5" fillId="0" borderId="0" xfId="4" applyNumberFormat="1" applyFont="1"/>
    <xf numFmtId="0" fontId="11" fillId="0" borderId="0" xfId="4" applyFont="1"/>
    <xf numFmtId="164" fontId="5" fillId="0" borderId="0" xfId="0" applyNumberFormat="1" applyFont="1" applyAlignment="1">
      <alignment horizontal="center"/>
    </xf>
    <xf numFmtId="4" fontId="2" fillId="0" borderId="0" xfId="4" applyNumberFormat="1" applyFont="1"/>
    <xf numFmtId="0" fontId="5" fillId="0" borderId="0" xfId="4" applyFont="1" applyAlignment="1">
      <alignment horizontal="left"/>
    </xf>
    <xf numFmtId="164" fontId="5" fillId="0" borderId="0" xfId="4" applyNumberFormat="1" applyFont="1"/>
    <xf numFmtId="164" fontId="2" fillId="0" borderId="0" xfId="4" applyNumberFormat="1" applyFont="1" applyBorder="1" applyAlignment="1">
      <alignment horizontal="left"/>
    </xf>
    <xf numFmtId="164" fontId="2" fillId="0" borderId="2" xfId="4" applyNumberFormat="1" applyFont="1" applyBorder="1"/>
    <xf numFmtId="44" fontId="2" fillId="0" borderId="2" xfId="2" applyFont="1" applyBorder="1"/>
    <xf numFmtId="49" fontId="5" fillId="0" borderId="0" xfId="4" applyNumberFormat="1" applyFont="1" applyBorder="1"/>
    <xf numFmtId="49" fontId="5" fillId="0" borderId="0" xfId="4" applyNumberFormat="1" applyFont="1"/>
    <xf numFmtId="40" fontId="5" fillId="0" borderId="0" xfId="4" applyNumberFormat="1" applyFont="1"/>
    <xf numFmtId="49" fontId="11" fillId="0" borderId="0" xfId="4" applyNumberFormat="1" applyFont="1" applyBorder="1"/>
    <xf numFmtId="164" fontId="11" fillId="0" borderId="0" xfId="4" applyNumberFormat="1" applyFont="1" applyAlignment="1">
      <alignment horizontal="left"/>
    </xf>
    <xf numFmtId="164" fontId="11" fillId="0" borderId="0" xfId="4" applyNumberFormat="1" applyFont="1"/>
    <xf numFmtId="49" fontId="11" fillId="0" borderId="0" xfId="4" applyNumberFormat="1" applyFont="1"/>
    <xf numFmtId="40" fontId="11" fillId="0" borderId="0" xfId="4" applyNumberFormat="1" applyFont="1"/>
    <xf numFmtId="164" fontId="4" fillId="0" borderId="1" xfId="4" applyNumberFormat="1" applyFont="1" applyBorder="1" applyAlignment="1">
      <alignment horizontal="center" wrapText="1"/>
    </xf>
    <xf numFmtId="49" fontId="5" fillId="0" borderId="0" xfId="4" applyNumberFormat="1" applyFont="1" applyBorder="1" applyAlignment="1">
      <alignment horizontal="center"/>
    </xf>
    <xf numFmtId="164" fontId="5" fillId="0" borderId="0" xfId="4" applyNumberFormat="1" applyFont="1" applyAlignment="1"/>
    <xf numFmtId="0" fontId="22" fillId="0" borderId="0" xfId="0" applyFont="1"/>
    <xf numFmtId="49" fontId="5" fillId="0" borderId="0" xfId="4" applyNumberFormat="1" applyFont="1" applyFill="1" applyBorder="1" applyAlignment="1">
      <alignment horizontal="center"/>
    </xf>
    <xf numFmtId="0" fontId="5" fillId="0" borderId="0" xfId="4" applyFont="1" applyAlignment="1"/>
    <xf numFmtId="49" fontId="8" fillId="0" borderId="0" xfId="4" applyNumberFormat="1" applyFont="1"/>
    <xf numFmtId="164" fontId="8" fillId="0" borderId="0" xfId="4" applyNumberFormat="1" applyFont="1"/>
    <xf numFmtId="0" fontId="23" fillId="0" borderId="0" xfId="4" applyFont="1"/>
    <xf numFmtId="40" fontId="4" fillId="0" borderId="0" xfId="4" applyNumberFormat="1" applyFont="1"/>
    <xf numFmtId="49" fontId="5" fillId="0" borderId="0" xfId="4" applyNumberFormat="1" applyFont="1" applyAlignment="1">
      <alignment horizontal="left"/>
    </xf>
    <xf numFmtId="40" fontId="5" fillId="0" borderId="0" xfId="4" quotePrefix="1" applyNumberFormat="1" applyFont="1"/>
    <xf numFmtId="49" fontId="5" fillId="0" borderId="0" xfId="4" applyNumberFormat="1" applyFont="1" applyAlignment="1">
      <alignment horizontal="center"/>
    </xf>
    <xf numFmtId="0" fontId="2" fillId="0" borderId="0" xfId="4" applyFont="1"/>
    <xf numFmtId="49" fontId="2" fillId="0" borderId="0" xfId="4" applyNumberFormat="1" applyFont="1"/>
    <xf numFmtId="164" fontId="2" fillId="0" borderId="0" xfId="4" applyNumberFormat="1" applyFont="1"/>
    <xf numFmtId="0" fontId="2" fillId="0" borderId="2" xfId="4" applyFont="1" applyBorder="1"/>
    <xf numFmtId="40" fontId="2" fillId="0" borderId="2" xfId="4" applyNumberFormat="1" applyFont="1" applyBorder="1"/>
    <xf numFmtId="0" fontId="5" fillId="0" borderId="0" xfId="5" applyFont="1"/>
    <xf numFmtId="49" fontId="5" fillId="0" borderId="0" xfId="5" applyNumberFormat="1" applyFont="1" applyAlignment="1">
      <alignment horizontal="center"/>
    </xf>
    <xf numFmtId="0" fontId="24" fillId="0" borderId="0" xfId="0" applyFont="1" applyBorder="1"/>
    <xf numFmtId="40" fontId="5" fillId="0" borderId="0" xfId="5" applyNumberFormat="1" applyFont="1" applyAlignment="1">
      <alignment horizontal="center"/>
    </xf>
    <xf numFmtId="40" fontId="25" fillId="0" borderId="0" xfId="5" applyNumberFormat="1" applyFont="1"/>
    <xf numFmtId="40" fontId="5" fillId="0" borderId="0" xfId="5" applyNumberFormat="1" applyFont="1"/>
    <xf numFmtId="0" fontId="26" fillId="0" borderId="0" xfId="0" applyFont="1"/>
    <xf numFmtId="0" fontId="19" fillId="0" borderId="1" xfId="5" applyFont="1" applyBorder="1" applyAlignment="1">
      <alignment horizontal="center" textRotation="90" wrapText="1"/>
    </xf>
    <xf numFmtId="49" fontId="19" fillId="0" borderId="1" xfId="1" applyNumberFormat="1" applyFont="1" applyBorder="1" applyAlignment="1">
      <alignment horizontal="center" textRotation="90" wrapText="1"/>
    </xf>
    <xf numFmtId="40" fontId="19" fillId="0" borderId="1" xfId="1" applyNumberFormat="1" applyFont="1" applyBorder="1" applyAlignment="1">
      <alignment horizontal="center" wrapText="1"/>
    </xf>
    <xf numFmtId="40" fontId="2" fillId="0" borderId="1" xfId="5" applyNumberFormat="1" applyFont="1" applyBorder="1" applyAlignment="1">
      <alignment horizontal="center" wrapText="1"/>
    </xf>
    <xf numFmtId="165" fontId="12" fillId="0" borderId="1" xfId="0" applyNumberFormat="1" applyFont="1" applyBorder="1" applyAlignment="1">
      <alignment horizontal="center" wrapText="1"/>
    </xf>
    <xf numFmtId="4" fontId="1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0" fontId="27" fillId="0" borderId="0" xfId="0" applyFont="1" applyAlignment="1">
      <alignment horizontal="center" wrapText="1"/>
    </xf>
    <xf numFmtId="0" fontId="2" fillId="0" borderId="0" xfId="5" applyFont="1" applyAlignment="1">
      <alignment horizontal="center" wrapText="1"/>
    </xf>
    <xf numFmtId="0" fontId="5" fillId="0" borderId="0" xfId="5" applyFont="1" applyAlignment="1">
      <alignment horizontal="center"/>
    </xf>
    <xf numFmtId="49" fontId="13" fillId="0" borderId="0" xfId="0" applyNumberFormat="1" applyFont="1" applyBorder="1" applyAlignment="1">
      <alignment horizontal="center" wrapText="1"/>
    </xf>
    <xf numFmtId="40" fontId="2" fillId="3" borderId="0" xfId="5" applyNumberFormat="1" applyFont="1" applyFill="1" applyBorder="1"/>
    <xf numFmtId="40" fontId="5" fillId="0" borderId="0" xfId="5" applyNumberFormat="1" applyFont="1" applyBorder="1" applyAlignment="1">
      <alignment horizontal="right"/>
    </xf>
    <xf numFmtId="40" fontId="5" fillId="0" borderId="0" xfId="5" applyNumberFormat="1" applyFont="1" applyBorder="1" applyAlignment="1">
      <alignment horizontal="center"/>
    </xf>
    <xf numFmtId="40" fontId="2" fillId="3" borderId="3" xfId="5" applyNumberFormat="1" applyFont="1" applyFill="1" applyBorder="1" applyAlignment="1">
      <alignment horizontal="right"/>
    </xf>
    <xf numFmtId="40" fontId="2" fillId="3" borderId="2" xfId="5" applyNumberFormat="1" applyFont="1" applyFill="1" applyBorder="1" applyAlignment="1">
      <alignment horizontal="right"/>
    </xf>
    <xf numFmtId="40" fontId="2" fillId="3" borderId="0" xfId="5" applyNumberFormat="1" applyFont="1" applyFill="1" applyBorder="1" applyAlignment="1">
      <alignment horizontal="right"/>
    </xf>
    <xf numFmtId="40" fontId="2" fillId="3" borderId="4" xfId="5" applyNumberFormat="1" applyFont="1" applyFill="1" applyBorder="1" applyAlignment="1">
      <alignment horizontal="right"/>
    </xf>
    <xf numFmtId="40" fontId="5" fillId="0" borderId="0" xfId="5" applyNumberFormat="1" applyFont="1" applyBorder="1"/>
    <xf numFmtId="0" fontId="5" fillId="4" borderId="0" xfId="5" applyFont="1" applyFill="1" applyAlignment="1">
      <alignment horizontal="center"/>
    </xf>
    <xf numFmtId="49" fontId="5" fillId="4" borderId="0" xfId="5" applyNumberFormat="1" applyFont="1" applyFill="1" applyAlignment="1">
      <alignment horizontal="center"/>
    </xf>
    <xf numFmtId="0" fontId="4" fillId="2" borderId="0" xfId="0" applyFont="1" applyFill="1" applyBorder="1" applyAlignment="1">
      <alignment horizontal="left" wrapText="1"/>
    </xf>
    <xf numFmtId="40" fontId="5" fillId="4" borderId="0" xfId="5" applyNumberFormat="1" applyFont="1" applyFill="1" applyAlignment="1">
      <alignment horizontal="center"/>
    </xf>
    <xf numFmtId="40" fontId="5" fillId="4" borderId="0" xfId="5" applyNumberFormat="1" applyFont="1" applyFill="1"/>
    <xf numFmtId="0" fontId="26" fillId="4" borderId="0" xfId="0" applyFont="1" applyFill="1"/>
    <xf numFmtId="0" fontId="5" fillId="0" borderId="5" xfId="5" applyFont="1" applyFill="1" applyBorder="1" applyAlignment="1">
      <alignment horizontal="center"/>
    </xf>
    <xf numFmtId="49" fontId="5" fillId="0" borderId="5" xfId="5" applyNumberFormat="1" applyFont="1" applyFill="1" applyBorder="1" applyAlignment="1">
      <alignment horizontal="center"/>
    </xf>
    <xf numFmtId="0" fontId="2" fillId="0" borderId="5" xfId="5" applyFont="1" applyFill="1" applyBorder="1"/>
    <xf numFmtId="40" fontId="5" fillId="0" borderId="5" xfId="5" applyNumberFormat="1" applyFont="1" applyFill="1" applyBorder="1" applyAlignment="1">
      <alignment horizontal="center"/>
    </xf>
    <xf numFmtId="40" fontId="28" fillId="0" borderId="5" xfId="5" applyNumberFormat="1" applyFont="1" applyFill="1" applyBorder="1" applyAlignment="1">
      <alignment horizontal="center" vertical="center"/>
    </xf>
    <xf numFmtId="40" fontId="28" fillId="0" borderId="5" xfId="5" applyNumberFormat="1" applyFont="1" applyFill="1" applyBorder="1" applyAlignment="1">
      <alignment horizontal="center" wrapText="1"/>
    </xf>
    <xf numFmtId="0" fontId="26" fillId="0" borderId="0" xfId="0" applyFont="1" applyFill="1"/>
    <xf numFmtId="0" fontId="5" fillId="0" borderId="0" xfId="5" applyFont="1" applyFill="1"/>
    <xf numFmtId="0" fontId="5" fillId="0" borderId="5" xfId="5" applyFont="1" applyFill="1" applyBorder="1"/>
    <xf numFmtId="39" fontId="5" fillId="0" borderId="5" xfId="2" applyNumberFormat="1" applyFont="1" applyFill="1" applyBorder="1" applyAlignment="1">
      <alignment horizontal="center"/>
    </xf>
    <xf numFmtId="0" fontId="5" fillId="0" borderId="5" xfId="5" applyFont="1" applyFill="1" applyBorder="1" applyAlignment="1">
      <alignment wrapText="1"/>
    </xf>
    <xf numFmtId="8" fontId="5" fillId="0" borderId="5" xfId="2" applyNumberFormat="1" applyFont="1" applyFill="1" applyBorder="1" applyAlignment="1">
      <alignment horizontal="center"/>
    </xf>
    <xf numFmtId="0" fontId="5" fillId="0" borderId="5" xfId="5" applyFont="1" applyFill="1" applyBorder="1" applyAlignment="1">
      <alignment horizontal="left" wrapText="1"/>
    </xf>
    <xf numFmtId="0" fontId="29" fillId="5" borderId="6" xfId="0" applyFont="1" applyFill="1" applyBorder="1" applyAlignment="1">
      <alignment wrapText="1"/>
    </xf>
    <xf numFmtId="0" fontId="29" fillId="0" borderId="0" xfId="0" applyFont="1"/>
    <xf numFmtId="0" fontId="29" fillId="5" borderId="5" xfId="0" applyFont="1" applyFill="1" applyBorder="1" applyAlignment="1">
      <alignment wrapText="1"/>
    </xf>
    <xf numFmtId="0" fontId="19" fillId="0" borderId="5" xfId="5" applyFont="1" applyFill="1" applyBorder="1" applyAlignment="1">
      <alignment horizontal="center"/>
    </xf>
    <xf numFmtId="0" fontId="2" fillId="0" borderId="5" xfId="0" applyFont="1" applyBorder="1" applyAlignment="1">
      <alignment horizontal="center"/>
    </xf>
    <xf numFmtId="0" fontId="30" fillId="5" borderId="5" xfId="0" applyFont="1" applyFill="1" applyBorder="1" applyAlignment="1">
      <alignment vertical="center" wrapText="1"/>
    </xf>
    <xf numFmtId="0" fontId="29" fillId="0" borderId="5" xfId="0" applyFont="1" applyBorder="1"/>
    <xf numFmtId="0" fontId="31" fillId="0" borderId="0" xfId="0" applyFont="1"/>
    <xf numFmtId="0" fontId="19" fillId="0" borderId="5" xfId="0" applyFont="1" applyBorder="1" applyAlignment="1">
      <alignment horizontal="center"/>
    </xf>
    <xf numFmtId="2" fontId="5" fillId="0" borderId="5" xfId="5" applyNumberFormat="1" applyFont="1" applyFill="1" applyBorder="1" applyAlignment="1">
      <alignment horizontal="center"/>
    </xf>
    <xf numFmtId="49" fontId="5" fillId="0" borderId="5" xfId="0" applyNumberFormat="1" applyFont="1" applyFill="1" applyBorder="1" applyAlignment="1">
      <alignment horizontal="center" wrapText="1"/>
    </xf>
    <xf numFmtId="0" fontId="30" fillId="0" borderId="0" xfId="0" applyFont="1"/>
    <xf numFmtId="40" fontId="5" fillId="0" borderId="5" xfId="5" applyNumberFormat="1" applyFont="1" applyBorder="1" applyAlignment="1">
      <alignment horizontal="center"/>
    </xf>
    <xf numFmtId="40" fontId="5" fillId="0" borderId="7" xfId="5" applyNumberFormat="1" applyFont="1" applyBorder="1" applyAlignment="1">
      <alignment horizontal="center"/>
    </xf>
    <xf numFmtId="49" fontId="5" fillId="0" borderId="8" xfId="0" applyNumberFormat="1" applyFont="1" applyFill="1" applyBorder="1" applyAlignment="1">
      <alignment horizontal="center" wrapText="1"/>
    </xf>
    <xf numFmtId="0" fontId="2" fillId="0" borderId="9" xfId="0" applyFont="1" applyBorder="1" applyAlignment="1">
      <alignment horizontal="left"/>
    </xf>
    <xf numFmtId="40" fontId="27" fillId="0" borderId="7" xfId="0" applyNumberFormat="1" applyFont="1" applyBorder="1" applyAlignment="1">
      <alignment horizontal="center"/>
    </xf>
    <xf numFmtId="8" fontId="2" fillId="0" borderId="7" xfId="5" applyNumberFormat="1" applyFont="1" applyBorder="1" applyAlignment="1">
      <alignment horizontal="center"/>
    </xf>
    <xf numFmtId="0" fontId="5" fillId="0" borderId="10" xfId="5" applyFont="1" applyBorder="1" applyAlignment="1">
      <alignment horizontal="center"/>
    </xf>
    <xf numFmtId="49" fontId="5" fillId="0" borderId="11" xfId="5" applyNumberFormat="1" applyFont="1" applyBorder="1" applyAlignment="1">
      <alignment horizontal="center"/>
    </xf>
    <xf numFmtId="0" fontId="5" fillId="0" borderId="11" xfId="5" applyFont="1" applyBorder="1"/>
    <xf numFmtId="40" fontId="5" fillId="0" borderId="11" xfId="5" applyNumberFormat="1" applyFont="1" applyBorder="1" applyAlignment="1">
      <alignment horizontal="center"/>
    </xf>
    <xf numFmtId="8" fontId="5" fillId="0" borderId="11" xfId="5" applyNumberFormat="1" applyFont="1" applyBorder="1" applyAlignment="1">
      <alignment horizontal="center"/>
    </xf>
    <xf numFmtId="8" fontId="26" fillId="0" borderId="11" xfId="0" applyNumberFormat="1" applyFont="1" applyBorder="1" applyAlignment="1">
      <alignment horizontal="center"/>
    </xf>
    <xf numFmtId="8" fontId="26" fillId="0" borderId="12" xfId="0" applyNumberFormat="1" applyFont="1" applyBorder="1" applyAlignment="1">
      <alignment horizontal="center"/>
    </xf>
    <xf numFmtId="49" fontId="5" fillId="0" borderId="0" xfId="5" applyNumberFormat="1" applyFont="1" applyBorder="1" applyAlignment="1">
      <alignment horizontal="center"/>
    </xf>
    <xf numFmtId="0" fontId="5" fillId="0" borderId="0" xfId="5" applyFont="1" applyBorder="1"/>
    <xf numFmtId="8" fontId="5" fillId="0" borderId="0" xfId="5" applyNumberFormat="1" applyFont="1" applyBorder="1" applyAlignment="1">
      <alignment horizontal="center"/>
    </xf>
    <xf numFmtId="165" fontId="5" fillId="0" borderId="0" xfId="0" applyNumberFormat="1" applyFont="1" applyFill="1" applyBorder="1" applyAlignment="1">
      <alignment horizontal="left"/>
    </xf>
    <xf numFmtId="8" fontId="5" fillId="0" borderId="0" xfId="5" applyNumberFormat="1" applyFont="1" applyAlignment="1">
      <alignment horizontal="center"/>
    </xf>
    <xf numFmtId="8" fontId="26" fillId="0" borderId="0" xfId="0" applyNumberFormat="1" applyFont="1" applyAlignment="1">
      <alignment horizontal="center"/>
    </xf>
    <xf numFmtId="165" fontId="13" fillId="0" borderId="0" xfId="3" applyNumberFormat="1" applyFont="1" applyFill="1" applyBorder="1" applyAlignment="1">
      <alignment horizontal="center"/>
    </xf>
    <xf numFmtId="49" fontId="2" fillId="0" borderId="0" xfId="5" applyNumberFormat="1" applyFont="1" applyFill="1" applyBorder="1" applyAlignment="1">
      <alignment horizontal="center"/>
    </xf>
    <xf numFmtId="0" fontId="2" fillId="6" borderId="0" xfId="0" applyFont="1" applyFill="1" applyBorder="1" applyAlignment="1">
      <alignment wrapText="1"/>
    </xf>
    <xf numFmtId="40" fontId="5" fillId="0" borderId="0" xfId="5" applyNumberFormat="1" applyFont="1" applyFill="1" applyBorder="1" applyAlignment="1">
      <alignment horizontal="center"/>
    </xf>
    <xf numFmtId="8" fontId="5" fillId="0" borderId="0" xfId="5" applyNumberFormat="1" applyFont="1" applyFill="1" applyBorder="1" applyAlignment="1">
      <alignment horizontal="center"/>
    </xf>
    <xf numFmtId="165" fontId="5" fillId="0" borderId="0" xfId="0" applyNumberFormat="1" applyFont="1" applyBorder="1" applyAlignment="1">
      <alignment horizontal="left"/>
    </xf>
    <xf numFmtId="8" fontId="27" fillId="0" borderId="2" xfId="0" applyNumberFormat="1" applyFont="1" applyBorder="1" applyAlignment="1">
      <alignment horizontal="center"/>
    </xf>
    <xf numFmtId="0" fontId="2" fillId="0" borderId="0" xfId="5" applyFont="1" applyBorder="1"/>
    <xf numFmtId="165" fontId="13" fillId="0" borderId="0" xfId="0" applyNumberFormat="1" applyFont="1" applyAlignment="1">
      <alignment horizontal="left"/>
    </xf>
    <xf numFmtId="165" fontId="5" fillId="0" borderId="0" xfId="0" applyNumberFormat="1" applyFont="1" applyAlignment="1">
      <alignment horizontal="left"/>
    </xf>
    <xf numFmtId="165" fontId="13" fillId="0" borderId="3" xfId="3" applyNumberFormat="1" applyFont="1" applyFill="1" applyBorder="1" applyAlignment="1">
      <alignment horizontal="center"/>
    </xf>
    <xf numFmtId="165" fontId="13" fillId="0" borderId="2" xfId="3" applyNumberFormat="1" applyFont="1" applyFill="1" applyBorder="1" applyAlignment="1">
      <alignment horizontal="center"/>
    </xf>
    <xf numFmtId="49" fontId="5" fillId="0" borderId="0" xfId="5" applyNumberFormat="1" applyFont="1" applyFill="1" applyAlignment="1">
      <alignment horizontal="center"/>
    </xf>
    <xf numFmtId="0" fontId="2" fillId="0" borderId="0" xfId="5" applyFont="1" applyFill="1"/>
    <xf numFmtId="40" fontId="5" fillId="0" borderId="0" xfId="5" applyNumberFormat="1" applyFont="1" applyFill="1" applyAlignment="1">
      <alignment horizontal="center"/>
    </xf>
    <xf numFmtId="40" fontId="5" fillId="0" borderId="0" xfId="5" applyNumberFormat="1" applyFont="1" applyFill="1"/>
    <xf numFmtId="49" fontId="26" fillId="0" borderId="0" xfId="0" applyNumberFormat="1" applyFont="1" applyAlignment="1">
      <alignment horizontal="center"/>
    </xf>
    <xf numFmtId="0" fontId="2" fillId="0" borderId="0" xfId="5" applyFont="1"/>
    <xf numFmtId="0" fontId="26" fillId="0" borderId="0" xfId="0" applyFont="1" applyAlignment="1">
      <alignment horizontal="center"/>
    </xf>
    <xf numFmtId="0" fontId="26" fillId="0" borderId="0" xfId="0" applyFont="1" applyBorder="1"/>
    <xf numFmtId="165" fontId="5" fillId="0" borderId="0" xfId="0" applyNumberFormat="1" applyFont="1" applyFill="1" applyBorder="1" applyAlignment="1">
      <alignment horizontal="center"/>
    </xf>
    <xf numFmtId="165" fontId="5" fillId="0" borderId="0" xfId="0" applyNumberFormat="1" applyFont="1" applyBorder="1" applyAlignment="1">
      <alignment horizontal="center"/>
    </xf>
    <xf numFmtId="0" fontId="2" fillId="0" borderId="0" xfId="0" applyFont="1"/>
    <xf numFmtId="40" fontId="19" fillId="0" borderId="0" xfId="5" applyNumberFormat="1" applyFont="1" applyBorder="1" applyAlignment="1">
      <alignment horizontal="center"/>
    </xf>
    <xf numFmtId="40" fontId="21" fillId="0" borderId="0" xfId="5" applyNumberFormat="1" applyFont="1" applyBorder="1" applyAlignment="1">
      <alignment horizontal="right"/>
    </xf>
    <xf numFmtId="164" fontId="5" fillId="0" borderId="0" xfId="4" applyNumberFormat="1" applyFont="1" applyBorder="1"/>
    <xf numFmtId="4" fontId="5" fillId="0" borderId="0" xfId="4" applyNumberFormat="1" applyFont="1" applyBorder="1"/>
    <xf numFmtId="0" fontId="11" fillId="0" borderId="0" xfId="4" applyFont="1" applyBorder="1"/>
    <xf numFmtId="4" fontId="2" fillId="0" borderId="0" xfId="4" applyNumberFormat="1" applyFont="1" applyBorder="1"/>
    <xf numFmtId="4" fontId="32" fillId="0" borderId="0" xfId="4" applyNumberFormat="1" applyFont="1" applyAlignment="1">
      <alignment horizontal="center"/>
    </xf>
    <xf numFmtId="49" fontId="5" fillId="0" borderId="0" xfId="4" applyNumberFormat="1" applyFont="1" applyFill="1" applyBorder="1" applyAlignment="1">
      <alignment horizontal="left"/>
    </xf>
    <xf numFmtId="1" fontId="5" fillId="0" borderId="0" xfId="4" applyNumberFormat="1" applyFont="1" applyAlignment="1">
      <alignment horizontal="center"/>
    </xf>
    <xf numFmtId="4" fontId="32" fillId="0" borderId="0" xfId="4" applyNumberFormat="1" applyFont="1"/>
    <xf numFmtId="44" fontId="26" fillId="0" borderId="0" xfId="0" applyNumberFormat="1" applyFont="1"/>
    <xf numFmtId="0" fontId="0" fillId="0" borderId="0" xfId="0" applyFill="1"/>
    <xf numFmtId="0" fontId="33" fillId="0" borderId="0" xfId="0" applyFont="1"/>
    <xf numFmtId="44" fontId="2" fillId="0" borderId="0" xfId="2" applyFont="1"/>
    <xf numFmtId="44" fontId="2" fillId="0" borderId="0" xfId="2" applyFont="1" applyBorder="1"/>
    <xf numFmtId="0" fontId="34" fillId="0" borderId="0" xfId="0" applyFont="1" applyFill="1" applyBorder="1" applyAlignment="1"/>
    <xf numFmtId="166" fontId="22" fillId="0" borderId="0" xfId="0" applyNumberFormat="1" applyFont="1" applyFill="1" applyAlignment="1">
      <alignment horizontal="center"/>
    </xf>
    <xf numFmtId="0" fontId="22" fillId="0" borderId="0" xfId="0" applyFont="1" applyFill="1" applyAlignment="1">
      <alignment horizontal="center"/>
    </xf>
    <xf numFmtId="0" fontId="5" fillId="0" borderId="0" xfId="0" applyFont="1"/>
    <xf numFmtId="0" fontId="22" fillId="0" borderId="0" xfId="0" applyFont="1" applyFill="1"/>
    <xf numFmtId="164" fontId="5" fillId="0" borderId="0" xfId="4" applyNumberFormat="1" applyFont="1" applyFill="1" applyAlignment="1">
      <alignment horizontal="center"/>
    </xf>
    <xf numFmtId="1" fontId="5" fillId="0" borderId="0" xfId="4" applyNumberFormat="1" applyFont="1" applyFill="1" applyAlignment="1">
      <alignment horizontal="center"/>
    </xf>
    <xf numFmtId="40" fontId="18" fillId="0" borderId="1" xfId="4" applyNumberFormat="1" applyFont="1" applyBorder="1" applyAlignment="1">
      <alignment horizontal="center" wrapText="1"/>
    </xf>
    <xf numFmtId="4" fontId="11" fillId="0" borderId="0" xfId="4" applyNumberFormat="1" applyFont="1"/>
    <xf numFmtId="4" fontId="11" fillId="0" borderId="0" xfId="4" applyNumberFormat="1" applyFont="1" applyBorder="1"/>
    <xf numFmtId="4" fontId="21" fillId="0" borderId="0" xfId="6" applyNumberFormat="1" applyFont="1"/>
    <xf numFmtId="40" fontId="18" fillId="0" borderId="0" xfId="4" applyNumberFormat="1" applyFont="1" applyBorder="1"/>
    <xf numFmtId="0" fontId="18" fillId="0" borderId="0" xfId="4" applyFont="1"/>
    <xf numFmtId="164" fontId="18" fillId="0" borderId="0" xfId="4" applyNumberFormat="1" applyFont="1" applyFill="1"/>
    <xf numFmtId="0" fontId="21" fillId="0" borderId="0" xfId="6" applyFont="1"/>
    <xf numFmtId="1" fontId="18" fillId="0" borderId="0" xfId="4" applyNumberFormat="1" applyFont="1" applyAlignment="1">
      <alignment horizontal="left"/>
    </xf>
    <xf numFmtId="4" fontId="18" fillId="0" borderId="0" xfId="6" applyNumberFormat="1" applyFont="1"/>
    <xf numFmtId="49" fontId="18" fillId="0" borderId="0" xfId="4" applyNumberFormat="1" applyFont="1" applyBorder="1" applyAlignment="1">
      <alignment horizontal="left"/>
    </xf>
    <xf numFmtId="40" fontId="18" fillId="0" borderId="0" xfId="4" applyNumberFormat="1" applyFont="1"/>
    <xf numFmtId="164" fontId="35" fillId="0" borderId="0" xfId="0" applyNumberFormat="1" applyFont="1"/>
    <xf numFmtId="0" fontId="35" fillId="0" borderId="0" xfId="4" applyFont="1"/>
    <xf numFmtId="40" fontId="18" fillId="0" borderId="0" xfId="4" applyNumberFormat="1" applyFont="1" applyFill="1" applyBorder="1"/>
    <xf numFmtId="164" fontId="18" fillId="0" borderId="0" xfId="4" applyNumberFormat="1" applyFont="1" applyBorder="1"/>
    <xf numFmtId="0" fontId="18" fillId="0" borderId="0" xfId="4" applyFont="1" applyAlignment="1">
      <alignment horizontal="right"/>
    </xf>
    <xf numFmtId="40" fontId="36" fillId="0" borderId="0" xfId="4" applyNumberFormat="1" applyFont="1" applyFill="1" applyBorder="1"/>
    <xf numFmtId="164" fontId="18" fillId="0" borderId="0" xfId="4" applyNumberFormat="1" applyFont="1" applyBorder="1" applyAlignment="1">
      <alignment horizontal="left"/>
    </xf>
    <xf numFmtId="49" fontId="18" fillId="0" borderId="1" xfId="4" applyNumberFormat="1" applyFont="1" applyBorder="1" applyAlignment="1">
      <alignment horizontal="center" wrapText="1"/>
    </xf>
    <xf numFmtId="164" fontId="18" fillId="0" borderId="1" xfId="4" applyNumberFormat="1" applyFont="1" applyBorder="1" applyAlignment="1">
      <alignment horizontal="center"/>
    </xf>
    <xf numFmtId="0" fontId="18" fillId="0" borderId="1" xfId="4" applyFont="1" applyBorder="1" applyAlignment="1">
      <alignment horizontal="center"/>
    </xf>
    <xf numFmtId="49" fontId="21" fillId="0" borderId="0" xfId="4" applyNumberFormat="1" applyFont="1" applyBorder="1" applyAlignment="1"/>
    <xf numFmtId="164" fontId="21" fillId="0" borderId="0" xfId="4" applyNumberFormat="1" applyFont="1" applyAlignment="1">
      <alignment horizontal="center"/>
    </xf>
    <xf numFmtId="164" fontId="21" fillId="0" borderId="0" xfId="4" applyNumberFormat="1" applyFont="1" applyAlignment="1">
      <alignment horizontal="left"/>
    </xf>
    <xf numFmtId="4" fontId="19" fillId="0" borderId="0" xfId="4" applyNumberFormat="1" applyFont="1" applyAlignment="1">
      <alignment horizontal="center"/>
    </xf>
    <xf numFmtId="4" fontId="21" fillId="0" borderId="0" xfId="4" applyNumberFormat="1" applyFont="1" applyAlignment="1">
      <alignment horizontal="center"/>
    </xf>
    <xf numFmtId="4" fontId="21" fillId="0" borderId="0" xfId="4" applyNumberFormat="1" applyFont="1"/>
    <xf numFmtId="164" fontId="21" fillId="0" borderId="0" xfId="0" applyNumberFormat="1" applyFont="1" applyAlignment="1">
      <alignment horizontal="center"/>
    </xf>
    <xf numFmtId="4" fontId="19" fillId="0" borderId="0" xfId="4" applyNumberFormat="1" applyFont="1"/>
    <xf numFmtId="167" fontId="19" fillId="0" borderId="0" xfId="4" applyNumberFormat="1" applyFont="1" applyAlignment="1">
      <alignment horizontal="center"/>
    </xf>
    <xf numFmtId="0" fontId="21" fillId="0" borderId="0" xfId="4" applyFont="1" applyAlignment="1">
      <alignment horizontal="left"/>
    </xf>
    <xf numFmtId="164" fontId="21" fillId="0" borderId="0" xfId="4" applyNumberFormat="1" applyFont="1"/>
    <xf numFmtId="164" fontId="19" fillId="0" borderId="0" xfId="4" applyNumberFormat="1" applyFont="1" applyBorder="1" applyAlignment="1">
      <alignment horizontal="left"/>
    </xf>
    <xf numFmtId="164" fontId="19" fillId="0" borderId="2" xfId="4" applyNumberFormat="1" applyFont="1" applyBorder="1"/>
    <xf numFmtId="44" fontId="19" fillId="0" borderId="2" xfId="2" applyFont="1" applyBorder="1"/>
    <xf numFmtId="49" fontId="21" fillId="0" borderId="0" xfId="4" applyNumberFormat="1" applyFont="1" applyBorder="1"/>
    <xf numFmtId="164" fontId="21" fillId="0" borderId="0" xfId="4" applyNumberFormat="1" applyFont="1" applyBorder="1"/>
    <xf numFmtId="4" fontId="21" fillId="0" borderId="0" xfId="4" applyNumberFormat="1" applyFont="1" applyBorder="1"/>
    <xf numFmtId="0" fontId="21" fillId="0" borderId="0" xfId="4" applyFont="1" applyBorder="1"/>
    <xf numFmtId="4" fontId="19" fillId="0" borderId="0" xfId="4" applyNumberFormat="1" applyFont="1" applyBorder="1"/>
    <xf numFmtId="49" fontId="21" fillId="0" borderId="0" xfId="4" applyNumberFormat="1" applyFont="1"/>
    <xf numFmtId="40" fontId="21" fillId="0" borderId="0" xfId="4" applyNumberFormat="1" applyFont="1"/>
    <xf numFmtId="0" fontId="19" fillId="0" borderId="0" xfId="6" applyFont="1"/>
    <xf numFmtId="164" fontId="2" fillId="0" borderId="0" xfId="4" applyNumberFormat="1" applyFont="1" applyBorder="1"/>
    <xf numFmtId="43" fontId="19" fillId="0" borderId="0" xfId="4" applyNumberFormat="1" applyFont="1" applyAlignment="1">
      <alignment horizontal="center"/>
    </xf>
    <xf numFmtId="164" fontId="19" fillId="0" borderId="0" xfId="4" applyNumberFormat="1" applyFont="1"/>
    <xf numFmtId="44" fontId="19" fillId="0" borderId="0" xfId="2" applyFont="1"/>
    <xf numFmtId="0" fontId="39" fillId="0" borderId="0" xfId="4" applyFont="1"/>
    <xf numFmtId="40" fontId="11" fillId="0" borderId="0" xfId="4" applyNumberFormat="1" applyFont="1" applyBorder="1"/>
    <xf numFmtId="164" fontId="11" fillId="0" borderId="0" xfId="4" applyNumberFormat="1" applyFont="1" applyBorder="1"/>
    <xf numFmtId="0" fontId="5" fillId="0" borderId="0" xfId="4" applyFont="1" applyBorder="1"/>
    <xf numFmtId="40" fontId="5" fillId="0" borderId="0" xfId="4" applyNumberFormat="1" applyFont="1" applyBorder="1"/>
    <xf numFmtId="4" fontId="39" fillId="0" borderId="0" xfId="4" applyNumberFormat="1" applyFont="1"/>
    <xf numFmtId="0" fontId="3" fillId="0" borderId="1" xfId="4" applyFont="1" applyBorder="1"/>
    <xf numFmtId="49" fontId="19" fillId="0" borderId="0" xfId="4" applyNumberFormat="1" applyFont="1" applyBorder="1"/>
    <xf numFmtId="49" fontId="5" fillId="0" borderId="3" xfId="4" applyNumberFormat="1" applyFont="1" applyBorder="1" applyAlignment="1"/>
    <xf numFmtId="164" fontId="5" fillId="0" borderId="3" xfId="4" applyNumberFormat="1" applyFont="1" applyBorder="1" applyAlignment="1">
      <alignment horizontal="center"/>
    </xf>
    <xf numFmtId="164" fontId="5" fillId="0" borderId="3" xfId="4" applyNumberFormat="1" applyFont="1" applyBorder="1" applyAlignment="1">
      <alignment horizontal="left"/>
    </xf>
    <xf numFmtId="4" fontId="5" fillId="0" borderId="3" xfId="4" applyNumberFormat="1" applyFont="1" applyBorder="1" applyAlignment="1">
      <alignment horizontal="center"/>
    </xf>
    <xf numFmtId="4" fontId="32" fillId="0" borderId="3" xfId="4" applyNumberFormat="1" applyFont="1" applyBorder="1"/>
    <xf numFmtId="4" fontId="5" fillId="0" borderId="3" xfId="4" applyNumberFormat="1" applyFont="1" applyBorder="1"/>
    <xf numFmtId="0" fontId="39" fillId="0" borderId="3" xfId="4" applyFont="1" applyBorder="1" applyAlignment="1">
      <alignment horizontal="right"/>
    </xf>
    <xf numFmtId="164" fontId="19" fillId="0" borderId="0" xfId="4" applyNumberFormat="1" applyFont="1" applyAlignment="1">
      <alignment horizontal="center"/>
    </xf>
    <xf numFmtId="164" fontId="5" fillId="0" borderId="3" xfId="0" applyNumberFormat="1" applyFont="1" applyBorder="1" applyAlignment="1">
      <alignment horizontal="center"/>
    </xf>
    <xf numFmtId="40" fontId="39" fillId="0" borderId="3" xfId="4" applyNumberFormat="1" applyFont="1" applyBorder="1"/>
    <xf numFmtId="0" fontId="39" fillId="0" borderId="0" xfId="4" applyFont="1" applyAlignment="1">
      <alignment horizontal="right"/>
    </xf>
    <xf numFmtId="4" fontId="39" fillId="0" borderId="3" xfId="4" applyNumberFormat="1" applyFont="1" applyBorder="1"/>
    <xf numFmtId="4" fontId="32" fillId="0" borderId="3" xfId="4" applyNumberFormat="1" applyFont="1" applyBorder="1" applyAlignment="1">
      <alignment horizontal="center"/>
    </xf>
    <xf numFmtId="2" fontId="39" fillId="0" borderId="3" xfId="4" applyNumberFormat="1" applyFont="1" applyBorder="1"/>
    <xf numFmtId="0" fontId="39" fillId="0" borderId="3" xfId="4" applyFont="1" applyBorder="1"/>
    <xf numFmtId="0" fontId="40" fillId="0" borderId="0" xfId="0" applyFont="1" applyAlignment="1">
      <alignment horizontal="left" vertical="center"/>
    </xf>
    <xf numFmtId="4" fontId="32" fillId="0" borderId="0" xfId="4" applyNumberFormat="1" applyFont="1" applyBorder="1"/>
    <xf numFmtId="49" fontId="5" fillId="0" borderId="0" xfId="4" applyNumberFormat="1" applyAlignment="1">
      <alignment horizontal="left"/>
    </xf>
    <xf numFmtId="164" fontId="5" fillId="0" borderId="0" xfId="4" applyNumberFormat="1" applyAlignment="1">
      <alignment horizontal="center"/>
    </xf>
    <xf numFmtId="49" fontId="5" fillId="0" borderId="0" xfId="4" applyNumberFormat="1" applyAlignment="1">
      <alignment horizontal="center"/>
    </xf>
    <xf numFmtId="0" fontId="0" fillId="0" borderId="0" xfId="0" applyAlignment="1">
      <alignment horizontal="center"/>
    </xf>
    <xf numFmtId="4" fontId="3" fillId="0" borderId="0" xfId="4" applyNumberFormat="1" applyFont="1"/>
    <xf numFmtId="0" fontId="41" fillId="0" borderId="0" xfId="4" applyFont="1"/>
    <xf numFmtId="49" fontId="21" fillId="0" borderId="3" xfId="4" applyNumberFormat="1" applyFont="1" applyBorder="1" applyAlignment="1"/>
    <xf numFmtId="164" fontId="21" fillId="0" borderId="3" xfId="4" applyNumberFormat="1" applyFont="1" applyBorder="1" applyAlignment="1">
      <alignment horizontal="center"/>
    </xf>
    <xf numFmtId="164" fontId="21" fillId="0" borderId="3" xfId="4" applyNumberFormat="1" applyFont="1" applyBorder="1" applyAlignment="1">
      <alignment horizontal="left"/>
    </xf>
    <xf numFmtId="4" fontId="19" fillId="0" borderId="3" xfId="4" applyNumberFormat="1" applyFont="1" applyBorder="1" applyAlignment="1">
      <alignment horizontal="center"/>
    </xf>
    <xf numFmtId="4" fontId="21" fillId="0" borderId="3" xfId="4" applyNumberFormat="1" applyFont="1" applyBorder="1" applyAlignment="1">
      <alignment horizontal="center"/>
    </xf>
    <xf numFmtId="4" fontId="21" fillId="0" borderId="3" xfId="4" applyNumberFormat="1" applyFont="1" applyBorder="1"/>
    <xf numFmtId="0" fontId="19" fillId="0" borderId="3" xfId="4" applyFont="1" applyBorder="1" applyAlignment="1">
      <alignment horizontal="right"/>
    </xf>
    <xf numFmtId="164" fontId="19" fillId="0" borderId="0" xfId="4" applyNumberFormat="1" applyFont="1" applyBorder="1"/>
    <xf numFmtId="44" fontId="19" fillId="0" borderId="0" xfId="2" applyFont="1" applyBorder="1"/>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49530</xdr:rowOff>
    </xdr:from>
    <xdr:to>
      <xdr:col>18</xdr:col>
      <xdr:colOff>400050</xdr:colOff>
      <xdr:row>24</xdr:row>
      <xdr:rowOff>114300</xdr:rowOff>
    </xdr:to>
    <xdr:pic>
      <xdr:nvPicPr>
        <xdr:cNvPr id="1025" name="Picture 1">
          <a:extLst>
            <a:ext uri="{FF2B5EF4-FFF2-40B4-BE49-F238E27FC236}">
              <a16:creationId xmlns:a16="http://schemas.microsoft.com/office/drawing/2014/main" id="{F7284952-6186-4F50-A057-5D624FA3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1480"/>
          <a:ext cx="11369040" cy="40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114300</xdr:rowOff>
    </xdr:from>
    <xdr:to>
      <xdr:col>18</xdr:col>
      <xdr:colOff>76200</xdr:colOff>
      <xdr:row>67</xdr:row>
      <xdr:rowOff>0</xdr:rowOff>
    </xdr:to>
    <xdr:pic>
      <xdr:nvPicPr>
        <xdr:cNvPr id="1026" name="Picture 2">
          <a:extLst>
            <a:ext uri="{FF2B5EF4-FFF2-40B4-BE49-F238E27FC236}">
              <a16:creationId xmlns:a16="http://schemas.microsoft.com/office/drawing/2014/main" id="{6B1C30D3-949A-4D4C-82D8-3B42BCE6A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57700"/>
          <a:ext cx="11049000" cy="766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69</xdr:row>
      <xdr:rowOff>0</xdr:rowOff>
    </xdr:from>
    <xdr:to>
      <xdr:col>28</xdr:col>
      <xdr:colOff>95250</xdr:colOff>
      <xdr:row>110</xdr:row>
      <xdr:rowOff>0</xdr:rowOff>
    </xdr:to>
    <xdr:pic>
      <xdr:nvPicPr>
        <xdr:cNvPr id="1027" name="Picture 3">
          <a:extLst>
            <a:ext uri="{FF2B5EF4-FFF2-40B4-BE49-F238E27FC236}">
              <a16:creationId xmlns:a16="http://schemas.microsoft.com/office/drawing/2014/main" id="{19278795-072E-45C4-9D4D-DA77EFF1BE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618720"/>
          <a:ext cx="17160240" cy="7498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GSE%20Infrastructure\GSE%20Projects%20X674\X674%20Financials.xlsx" TargetMode="External"/><Relationship Id="rId1" Type="http://schemas.openxmlformats.org/officeDocument/2006/relationships/externalLinkPath" Target="/DAS%20Shared%20Perm/GSE%20Infrastructure/GSE%20Projects%20X674/X674%20Financ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3">
          <cell r="D23">
            <v>43273.279999999999</v>
          </cell>
          <cell r="F23">
            <v>2417.56</v>
          </cell>
          <cell r="H23">
            <v>40855.72</v>
          </cell>
        </row>
      </sheetData>
      <sheetData sheetId="31"/>
      <sheetData sheetId="32"/>
      <sheetData sheetId="33">
        <row r="23">
          <cell r="D23">
            <v>28000</v>
          </cell>
          <cell r="F23">
            <v>0</v>
          </cell>
          <cell r="H23">
            <v>28000</v>
          </cell>
        </row>
      </sheetData>
      <sheetData sheetId="34">
        <row r="23">
          <cell r="D23">
            <v>14650</v>
          </cell>
          <cell r="F23">
            <v>0</v>
          </cell>
          <cell r="H23">
            <v>14650</v>
          </cell>
        </row>
      </sheetData>
      <sheetData sheetId="35">
        <row r="23">
          <cell r="D23">
            <v>42753</v>
          </cell>
          <cell r="F23">
            <v>403.75</v>
          </cell>
          <cell r="H23">
            <v>42349.25</v>
          </cell>
        </row>
      </sheetData>
      <sheetData sheetId="36">
        <row r="23">
          <cell r="D23">
            <v>177650</v>
          </cell>
          <cell r="F23">
            <v>52075.5</v>
          </cell>
          <cell r="H23">
            <v>125574.5</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46" workbookViewId="0"/>
  </sheetViews>
  <sheetFormatPr defaultRowHeight="15" x14ac:dyDescent="0.25"/>
  <sheetData>
    <row r="1" spans="1:1" x14ac:dyDescent="0.25">
      <c r="A1" s="213" t="s">
        <v>139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DC08-7B86-4B10-B49A-D91A39A92203}">
  <sheetPr>
    <pageSetUpPr fitToPage="1"/>
  </sheetPr>
  <dimension ref="A1:J627"/>
  <sheetViews>
    <sheetView zoomScaleNormal="100" workbookViewId="0">
      <selection activeCell="F29" sqref="F29"/>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9" width="12.42578125" style="65" customWidth="1"/>
    <col min="10" max="10" width="5.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168</v>
      </c>
      <c r="B4" s="37"/>
      <c r="C4" s="38"/>
      <c r="D4" s="39" t="s">
        <v>169</v>
      </c>
      <c r="E4" s="40"/>
      <c r="F4" s="34"/>
      <c r="G4" s="34"/>
    </row>
    <row r="5" spans="1:10" s="35" customFormat="1" ht="15.75" x14ac:dyDescent="0.25">
      <c r="A5" s="41" t="s">
        <v>86</v>
      </c>
      <c r="B5" s="42"/>
      <c r="C5" s="43"/>
      <c r="D5" s="44" t="s">
        <v>161</v>
      </c>
      <c r="E5" s="45"/>
      <c r="F5" s="46"/>
      <c r="G5" s="47"/>
      <c r="H5" s="42"/>
    </row>
    <row r="6" spans="1:10" s="35" customFormat="1" ht="15.75" x14ac:dyDescent="0.25">
      <c r="A6" s="13" t="str">
        <f>'RECAP #9436.00'!B6</f>
        <v>Project Manager - James T.</v>
      </c>
      <c r="B6" s="11"/>
      <c r="C6" s="48"/>
      <c r="D6" s="49" t="s">
        <v>162</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186</v>
      </c>
    </row>
    <row r="9" spans="1:10" x14ac:dyDescent="0.2">
      <c r="A9" s="59" t="s">
        <v>170</v>
      </c>
      <c r="B9" s="60">
        <v>45721</v>
      </c>
      <c r="C9" s="61" t="s">
        <v>88</v>
      </c>
      <c r="D9" s="204">
        <v>24600</v>
      </c>
      <c r="E9" s="63">
        <f>D9</f>
        <v>24600</v>
      </c>
      <c r="F9" s="64"/>
      <c r="G9" s="64"/>
      <c r="H9" s="64">
        <f>E9</f>
        <v>24600</v>
      </c>
    </row>
    <row r="10" spans="1:10" x14ac:dyDescent="0.2">
      <c r="A10" s="276" t="s">
        <v>281</v>
      </c>
      <c r="B10" s="284">
        <v>45855</v>
      </c>
      <c r="C10" s="278" t="s">
        <v>282</v>
      </c>
      <c r="D10" s="279"/>
      <c r="E10" s="279">
        <f t="shared" ref="E10:E21" si="0">E9+D10</f>
        <v>24600</v>
      </c>
      <c r="F10" s="280">
        <v>8569</v>
      </c>
      <c r="G10" s="281">
        <f t="shared" ref="G10:G21" si="1">G9+F10</f>
        <v>8569</v>
      </c>
      <c r="H10" s="281">
        <f t="shared" ref="H10:H21" si="2">H9-F10+D10</f>
        <v>16031</v>
      </c>
      <c r="I10" s="287">
        <v>451</v>
      </c>
      <c r="J10" s="282" t="s">
        <v>289</v>
      </c>
    </row>
    <row r="11" spans="1:10" x14ac:dyDescent="0.2">
      <c r="A11" s="59" t="s">
        <v>294</v>
      </c>
      <c r="B11" s="60">
        <v>45891</v>
      </c>
      <c r="C11" s="61" t="s">
        <v>291</v>
      </c>
      <c r="D11" s="204">
        <v>0</v>
      </c>
      <c r="E11" s="63">
        <f t="shared" si="0"/>
        <v>24600</v>
      </c>
      <c r="F11" s="207"/>
      <c r="G11" s="64">
        <f t="shared" si="1"/>
        <v>8569</v>
      </c>
      <c r="H11" s="64">
        <f t="shared" si="2"/>
        <v>16031</v>
      </c>
      <c r="I11" s="273"/>
    </row>
    <row r="12" spans="1:10" x14ac:dyDescent="0.2">
      <c r="A12" s="59" t="s">
        <v>355</v>
      </c>
      <c r="B12" s="60">
        <v>45959</v>
      </c>
      <c r="C12" s="61" t="s">
        <v>356</v>
      </c>
      <c r="D12" s="63"/>
      <c r="E12" s="63">
        <f t="shared" si="0"/>
        <v>24600</v>
      </c>
      <c r="F12" s="292">
        <v>6920.75</v>
      </c>
      <c r="G12" s="64">
        <f t="shared" si="1"/>
        <v>15489.75</v>
      </c>
      <c r="H12" s="64">
        <f t="shared" si="2"/>
        <v>9110.25</v>
      </c>
      <c r="I12" s="273">
        <f>I10+364.25</f>
        <v>815.25</v>
      </c>
    </row>
    <row r="13" spans="1:10" x14ac:dyDescent="0.2">
      <c r="A13" s="59"/>
      <c r="B13" s="60"/>
      <c r="C13" s="61"/>
      <c r="D13" s="63"/>
      <c r="E13" s="63">
        <f t="shared" si="0"/>
        <v>24600</v>
      </c>
      <c r="F13" s="67"/>
      <c r="G13" s="64">
        <f t="shared" si="1"/>
        <v>15489.75</v>
      </c>
      <c r="H13" s="64">
        <f t="shared" si="2"/>
        <v>9110.25</v>
      </c>
      <c r="I13" s="273"/>
    </row>
    <row r="14" spans="1:10" x14ac:dyDescent="0.2">
      <c r="A14" s="59"/>
      <c r="B14" s="60"/>
      <c r="C14" s="61"/>
      <c r="D14" s="63"/>
      <c r="E14" s="63">
        <f t="shared" si="0"/>
        <v>24600</v>
      </c>
      <c r="F14" s="64"/>
      <c r="G14" s="64">
        <f t="shared" si="1"/>
        <v>15489.75</v>
      </c>
      <c r="H14" s="64">
        <f t="shared" si="2"/>
        <v>9110.25</v>
      </c>
      <c r="I14" s="273"/>
    </row>
    <row r="15" spans="1:10" x14ac:dyDescent="0.2">
      <c r="A15" s="59"/>
      <c r="B15" s="60"/>
      <c r="C15" s="61"/>
      <c r="D15" s="63"/>
      <c r="E15" s="63">
        <f t="shared" si="0"/>
        <v>24600</v>
      </c>
      <c r="F15" s="67"/>
      <c r="G15" s="64">
        <f t="shared" si="1"/>
        <v>15489.75</v>
      </c>
      <c r="H15" s="64">
        <f t="shared" si="2"/>
        <v>9110.25</v>
      </c>
      <c r="I15" s="273"/>
    </row>
    <row r="16" spans="1:10" x14ac:dyDescent="0.2">
      <c r="A16" s="59"/>
      <c r="B16" s="60"/>
      <c r="C16" s="61"/>
      <c r="D16" s="63"/>
      <c r="E16" s="63">
        <f t="shared" si="0"/>
        <v>24600</v>
      </c>
      <c r="F16" s="67"/>
      <c r="G16" s="64">
        <f t="shared" si="1"/>
        <v>15489.75</v>
      </c>
      <c r="H16" s="64">
        <f t="shared" si="2"/>
        <v>9110.25</v>
      </c>
      <c r="I16" s="273"/>
    </row>
    <row r="17" spans="1:10" x14ac:dyDescent="0.2">
      <c r="A17" s="59"/>
      <c r="B17" s="60"/>
      <c r="C17" s="61"/>
      <c r="D17" s="63"/>
      <c r="E17" s="63">
        <f t="shared" si="0"/>
        <v>24600</v>
      </c>
      <c r="F17" s="67"/>
      <c r="G17" s="64">
        <f t="shared" si="1"/>
        <v>15489.75</v>
      </c>
      <c r="H17" s="64">
        <f t="shared" si="2"/>
        <v>9110.25</v>
      </c>
      <c r="I17" s="273"/>
    </row>
    <row r="18" spans="1:10" x14ac:dyDescent="0.2">
      <c r="A18" s="59"/>
      <c r="B18" s="60"/>
      <c r="C18" s="61"/>
      <c r="D18" s="63"/>
      <c r="E18" s="63">
        <f t="shared" si="0"/>
        <v>24600</v>
      </c>
      <c r="F18" s="67"/>
      <c r="G18" s="64">
        <f t="shared" si="1"/>
        <v>15489.75</v>
      </c>
      <c r="H18" s="64">
        <f t="shared" si="2"/>
        <v>9110.25</v>
      </c>
      <c r="I18" s="273"/>
    </row>
    <row r="19" spans="1:10" x14ac:dyDescent="0.2">
      <c r="A19" s="59"/>
      <c r="B19" s="60"/>
      <c r="C19" s="61"/>
      <c r="D19" s="63"/>
      <c r="E19" s="63">
        <f t="shared" si="0"/>
        <v>24600</v>
      </c>
      <c r="F19" s="64"/>
      <c r="G19" s="64">
        <f t="shared" si="1"/>
        <v>15489.75</v>
      </c>
      <c r="H19" s="64">
        <f t="shared" si="2"/>
        <v>9110.25</v>
      </c>
      <c r="I19" s="273"/>
    </row>
    <row r="20" spans="1:10" x14ac:dyDescent="0.2">
      <c r="A20" s="59"/>
      <c r="B20" s="60"/>
      <c r="C20" s="61"/>
      <c r="D20" s="63"/>
      <c r="E20" s="63">
        <f t="shared" si="0"/>
        <v>24600</v>
      </c>
      <c r="F20" s="64"/>
      <c r="G20" s="64">
        <f t="shared" si="1"/>
        <v>15489.75</v>
      </c>
      <c r="H20" s="64">
        <f t="shared" si="2"/>
        <v>9110.25</v>
      </c>
      <c r="I20" s="273"/>
    </row>
    <row r="21" spans="1:10" x14ac:dyDescent="0.2">
      <c r="A21" s="59"/>
      <c r="B21" s="283"/>
      <c r="C21" s="68"/>
      <c r="D21" s="63"/>
      <c r="E21" s="63">
        <f t="shared" si="0"/>
        <v>24600</v>
      </c>
      <c r="F21" s="64"/>
      <c r="G21" s="64">
        <f t="shared" si="1"/>
        <v>15489.75</v>
      </c>
      <c r="H21" s="64">
        <f t="shared" si="2"/>
        <v>9110.25</v>
      </c>
      <c r="I21" s="273"/>
    </row>
    <row r="22" spans="1:10" x14ac:dyDescent="0.2">
      <c r="A22" s="59"/>
      <c r="B22" s="61"/>
      <c r="C22" s="69"/>
      <c r="D22" s="64"/>
      <c r="E22" s="64"/>
      <c r="F22" s="64"/>
      <c r="G22" s="64"/>
      <c r="H22" s="64"/>
    </row>
    <row r="23" spans="1:10" ht="13.5" thickBot="1" x14ac:dyDescent="0.25">
      <c r="A23" s="59"/>
      <c r="B23" s="70"/>
      <c r="C23" s="71" t="s">
        <v>28</v>
      </c>
      <c r="D23" s="72">
        <f>SUM(D9:D22)</f>
        <v>24600</v>
      </c>
      <c r="E23" s="72"/>
      <c r="F23" s="72">
        <f>SUM(F9:F22)</f>
        <v>15489.75</v>
      </c>
      <c r="G23" s="72"/>
      <c r="H23" s="72">
        <f>D23-F23</f>
        <v>9110.25</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200"/>
      <c r="D26" s="201"/>
      <c r="E26" s="201"/>
      <c r="F26" s="201"/>
      <c r="G26" s="201"/>
      <c r="H26" s="201"/>
      <c r="I26" s="202"/>
      <c r="J26" s="202"/>
    </row>
    <row r="27" spans="1:10" x14ac:dyDescent="0.2">
      <c r="A27" s="73"/>
      <c r="B27" s="61"/>
      <c r="C27" s="200"/>
      <c r="D27" s="201"/>
      <c r="E27" s="201"/>
      <c r="F27" s="201"/>
      <c r="G27" s="201"/>
      <c r="H27" s="201"/>
      <c r="I27" s="202"/>
      <c r="J27" s="202"/>
    </row>
    <row r="28" spans="1:10" x14ac:dyDescent="0.2">
      <c r="A28" s="73"/>
      <c r="B28" s="61"/>
      <c r="C28" s="200"/>
      <c r="D28" s="201"/>
      <c r="E28" s="201"/>
      <c r="F28" s="201"/>
      <c r="G28" s="201"/>
      <c r="H28" s="201"/>
      <c r="I28" s="202"/>
      <c r="J28" s="202"/>
    </row>
    <row r="29" spans="1:10" x14ac:dyDescent="0.2">
      <c r="A29" s="73"/>
      <c r="B29" s="61"/>
      <c r="C29" s="200"/>
      <c r="D29" s="203"/>
      <c r="E29" s="201"/>
      <c r="F29" s="203"/>
      <c r="G29" s="201"/>
      <c r="H29" s="203"/>
      <c r="I29" s="202"/>
      <c r="J29" s="202"/>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3"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6E3-A110-4A2F-9EB4-328C996B4CE1}">
  <sheetPr>
    <pageSetUpPr fitToPage="1"/>
  </sheetPr>
  <dimension ref="A1:J627"/>
  <sheetViews>
    <sheetView zoomScaleNormal="100" workbookViewId="0">
      <selection activeCell="O28" sqref="O2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7109375" style="65" customWidth="1"/>
    <col min="10" max="10" width="5.855468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171</v>
      </c>
      <c r="B4" s="37"/>
      <c r="C4" s="38"/>
      <c r="D4" s="39" t="s">
        <v>172</v>
      </c>
      <c r="E4" s="40"/>
      <c r="F4" s="34"/>
      <c r="G4" s="34"/>
    </row>
    <row r="5" spans="1:10" s="35" customFormat="1" ht="15.75" x14ac:dyDescent="0.25">
      <c r="A5" s="41" t="s">
        <v>86</v>
      </c>
      <c r="B5" s="42"/>
      <c r="C5" s="43"/>
      <c r="D5" s="44" t="s">
        <v>173</v>
      </c>
      <c r="E5" s="45"/>
      <c r="F5" s="46"/>
      <c r="G5" s="47"/>
      <c r="H5" s="42"/>
    </row>
    <row r="6" spans="1:10" s="35" customFormat="1" ht="15.75" x14ac:dyDescent="0.25">
      <c r="A6" s="13" t="str">
        <f>'RECAP #9436.00'!B6</f>
        <v>Project Manager - James T.</v>
      </c>
      <c r="B6" s="11"/>
      <c r="C6" s="48"/>
      <c r="D6" s="49" t="s">
        <v>162</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186</v>
      </c>
    </row>
    <row r="9" spans="1:10" x14ac:dyDescent="0.2">
      <c r="A9" s="59" t="s">
        <v>174</v>
      </c>
      <c r="B9" s="60">
        <v>45721</v>
      </c>
      <c r="C9" s="61" t="s">
        <v>88</v>
      </c>
      <c r="D9" s="204">
        <v>39998</v>
      </c>
      <c r="E9" s="63">
        <f>D9</f>
        <v>39998</v>
      </c>
      <c r="F9" s="64"/>
      <c r="G9" s="64"/>
      <c r="H9" s="64">
        <f>E9</f>
        <v>39998</v>
      </c>
    </row>
    <row r="10" spans="1:10" x14ac:dyDescent="0.2">
      <c r="A10" s="59" t="s">
        <v>250</v>
      </c>
      <c r="B10" s="66">
        <v>45813</v>
      </c>
      <c r="C10" s="61" t="s">
        <v>251</v>
      </c>
      <c r="D10" s="63"/>
      <c r="E10" s="63">
        <f t="shared" ref="E10:E21" si="0">E9+D10</f>
        <v>39998</v>
      </c>
      <c r="F10" s="207">
        <v>2137.5</v>
      </c>
      <c r="G10" s="64">
        <f t="shared" ref="G10:G21" si="1">G9+F10</f>
        <v>2137.5</v>
      </c>
      <c r="H10" s="64">
        <f t="shared" ref="H10:H21" si="2">H9-F10+D10</f>
        <v>37860.5</v>
      </c>
      <c r="I10" s="273">
        <f>112.5</f>
        <v>112.5</v>
      </c>
    </row>
    <row r="11" spans="1:10" x14ac:dyDescent="0.2">
      <c r="A11" s="276" t="s">
        <v>283</v>
      </c>
      <c r="B11" s="277">
        <v>45855</v>
      </c>
      <c r="C11" s="278" t="s">
        <v>284</v>
      </c>
      <c r="D11" s="279"/>
      <c r="E11" s="279">
        <f t="shared" si="0"/>
        <v>39998</v>
      </c>
      <c r="F11" s="280">
        <v>3291.75</v>
      </c>
      <c r="G11" s="281">
        <f t="shared" si="1"/>
        <v>5429.25</v>
      </c>
      <c r="H11" s="281">
        <f t="shared" si="2"/>
        <v>34568.75</v>
      </c>
      <c r="I11" s="287">
        <f>I10+173.25</f>
        <v>285.75</v>
      </c>
      <c r="J11" s="282" t="s">
        <v>289</v>
      </c>
    </row>
    <row r="12" spans="1:10" x14ac:dyDescent="0.2">
      <c r="A12" s="59" t="s">
        <v>295</v>
      </c>
      <c r="B12" s="60">
        <v>45891</v>
      </c>
      <c r="C12" s="61" t="s">
        <v>291</v>
      </c>
      <c r="D12" s="204">
        <v>0</v>
      </c>
      <c r="E12" s="63">
        <f t="shared" si="0"/>
        <v>39998</v>
      </c>
      <c r="F12" s="67"/>
      <c r="G12" s="64">
        <f t="shared" si="1"/>
        <v>5429.25</v>
      </c>
      <c r="H12" s="64">
        <f t="shared" si="2"/>
        <v>34568.75</v>
      </c>
      <c r="I12" s="273"/>
    </row>
    <row r="13" spans="1:10" x14ac:dyDescent="0.2">
      <c r="A13" s="59" t="s">
        <v>344</v>
      </c>
      <c r="B13" s="66">
        <v>45940</v>
      </c>
      <c r="C13" s="61" t="s">
        <v>345</v>
      </c>
      <c r="D13" s="63"/>
      <c r="E13" s="63">
        <f t="shared" si="0"/>
        <v>39998</v>
      </c>
      <c r="F13" s="207">
        <v>9213.1</v>
      </c>
      <c r="G13" s="64">
        <f t="shared" si="1"/>
        <v>14642.35</v>
      </c>
      <c r="H13" s="64">
        <f t="shared" si="2"/>
        <v>25355.65</v>
      </c>
      <c r="I13" s="273">
        <f>I11+484.9</f>
        <v>770.65</v>
      </c>
    </row>
    <row r="14" spans="1:10" x14ac:dyDescent="0.2">
      <c r="A14" s="59" t="s">
        <v>351</v>
      </c>
      <c r="B14" s="60">
        <v>45953</v>
      </c>
      <c r="C14" s="61" t="s">
        <v>352</v>
      </c>
      <c r="D14" s="63"/>
      <c r="E14" s="63">
        <f t="shared" si="0"/>
        <v>39998</v>
      </c>
      <c r="F14" s="207">
        <v>9659.98</v>
      </c>
      <c r="G14" s="64">
        <f t="shared" si="1"/>
        <v>24302.33</v>
      </c>
      <c r="H14" s="64">
        <f t="shared" si="2"/>
        <v>15695.670000000002</v>
      </c>
      <c r="I14" s="273">
        <f>I13+508.42</f>
        <v>1279.07</v>
      </c>
    </row>
    <row r="15" spans="1:10" x14ac:dyDescent="0.2">
      <c r="A15" s="59"/>
      <c r="B15" s="60"/>
      <c r="C15" s="61"/>
      <c r="D15" s="63"/>
      <c r="E15" s="63">
        <f t="shared" si="0"/>
        <v>39998</v>
      </c>
      <c r="F15" s="67"/>
      <c r="G15" s="64">
        <f t="shared" si="1"/>
        <v>24302.33</v>
      </c>
      <c r="H15" s="64">
        <f t="shared" si="2"/>
        <v>15695.670000000002</v>
      </c>
      <c r="I15" s="273"/>
    </row>
    <row r="16" spans="1:10" x14ac:dyDescent="0.2">
      <c r="A16" s="59"/>
      <c r="B16" s="60"/>
      <c r="C16" s="61"/>
      <c r="D16" s="63"/>
      <c r="E16" s="63">
        <f t="shared" si="0"/>
        <v>39998</v>
      </c>
      <c r="F16" s="67"/>
      <c r="G16" s="64">
        <f t="shared" si="1"/>
        <v>24302.33</v>
      </c>
      <c r="H16" s="64">
        <f t="shared" si="2"/>
        <v>15695.670000000002</v>
      </c>
      <c r="I16" s="273"/>
    </row>
    <row r="17" spans="1:10" x14ac:dyDescent="0.2">
      <c r="A17" s="59"/>
      <c r="B17" s="60"/>
      <c r="C17" s="61"/>
      <c r="D17" s="63"/>
      <c r="E17" s="63">
        <f t="shared" si="0"/>
        <v>39998</v>
      </c>
      <c r="F17" s="67"/>
      <c r="G17" s="64">
        <f t="shared" si="1"/>
        <v>24302.33</v>
      </c>
      <c r="H17" s="64">
        <f t="shared" si="2"/>
        <v>15695.670000000002</v>
      </c>
      <c r="I17" s="273"/>
    </row>
    <row r="18" spans="1:10" x14ac:dyDescent="0.2">
      <c r="A18" s="59"/>
      <c r="B18" s="60"/>
      <c r="C18" s="61"/>
      <c r="D18" s="63"/>
      <c r="E18" s="63">
        <f t="shared" si="0"/>
        <v>39998</v>
      </c>
      <c r="F18" s="67"/>
      <c r="G18" s="64">
        <f t="shared" si="1"/>
        <v>24302.33</v>
      </c>
      <c r="H18" s="64">
        <f t="shared" si="2"/>
        <v>15695.670000000002</v>
      </c>
      <c r="I18" s="273"/>
    </row>
    <row r="19" spans="1:10" x14ac:dyDescent="0.2">
      <c r="A19" s="59"/>
      <c r="B19" s="60"/>
      <c r="C19" s="61"/>
      <c r="D19" s="63"/>
      <c r="E19" s="63">
        <f t="shared" si="0"/>
        <v>39998</v>
      </c>
      <c r="F19" s="64"/>
      <c r="G19" s="64">
        <f t="shared" si="1"/>
        <v>24302.33</v>
      </c>
      <c r="H19" s="64">
        <f t="shared" si="2"/>
        <v>15695.670000000002</v>
      </c>
      <c r="I19" s="273"/>
    </row>
    <row r="20" spans="1:10" x14ac:dyDescent="0.2">
      <c r="A20" s="59"/>
      <c r="B20" s="60"/>
      <c r="C20" s="61"/>
      <c r="D20" s="63"/>
      <c r="E20" s="63">
        <f t="shared" si="0"/>
        <v>39998</v>
      </c>
      <c r="F20" s="64"/>
      <c r="G20" s="64">
        <f t="shared" si="1"/>
        <v>24302.33</v>
      </c>
      <c r="H20" s="64">
        <f t="shared" si="2"/>
        <v>15695.670000000002</v>
      </c>
      <c r="I20" s="273"/>
    </row>
    <row r="21" spans="1:10" x14ac:dyDescent="0.2">
      <c r="A21" s="59"/>
      <c r="B21" s="60"/>
      <c r="C21" s="68"/>
      <c r="D21" s="63"/>
      <c r="E21" s="63">
        <f t="shared" si="0"/>
        <v>39998</v>
      </c>
      <c r="F21" s="64"/>
      <c r="G21" s="64">
        <f t="shared" si="1"/>
        <v>24302.33</v>
      </c>
      <c r="H21" s="64">
        <f t="shared" si="2"/>
        <v>15695.670000000002</v>
      </c>
      <c r="I21" s="273"/>
    </row>
    <row r="22" spans="1:10" x14ac:dyDescent="0.2">
      <c r="A22" s="59"/>
      <c r="B22" s="61"/>
      <c r="C22" s="69"/>
      <c r="D22" s="64"/>
      <c r="E22" s="64"/>
      <c r="F22" s="64"/>
      <c r="G22" s="64"/>
      <c r="H22" s="64"/>
    </row>
    <row r="23" spans="1:10" ht="13.5" thickBot="1" x14ac:dyDescent="0.25">
      <c r="A23" s="59"/>
      <c r="B23" s="70"/>
      <c r="C23" s="71" t="s">
        <v>28</v>
      </c>
      <c r="D23" s="72">
        <f>SUM(D9:D22)</f>
        <v>39998</v>
      </c>
      <c r="E23" s="72"/>
      <c r="F23" s="72">
        <f>SUM(F9:F22)</f>
        <v>24302.33</v>
      </c>
      <c r="G23" s="72"/>
      <c r="H23" s="72">
        <f>D23-F23</f>
        <v>15695.669999999998</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200"/>
      <c r="D26" s="201"/>
      <c r="E26" s="201"/>
      <c r="F26" s="201"/>
      <c r="G26" s="201"/>
      <c r="H26" s="201"/>
      <c r="I26" s="202"/>
      <c r="J26" s="202"/>
    </row>
    <row r="27" spans="1:10" x14ac:dyDescent="0.2">
      <c r="A27" s="73"/>
      <c r="B27" s="61"/>
      <c r="C27" s="200"/>
      <c r="D27" s="201"/>
      <c r="E27" s="201"/>
      <c r="F27" s="201"/>
      <c r="G27" s="201"/>
      <c r="H27" s="201"/>
      <c r="I27" s="202"/>
      <c r="J27" s="202"/>
    </row>
    <row r="28" spans="1:10" x14ac:dyDescent="0.2">
      <c r="A28" s="73"/>
      <c r="B28" s="61"/>
      <c r="C28" s="200"/>
      <c r="D28" s="201"/>
      <c r="E28" s="201"/>
      <c r="F28" s="201"/>
      <c r="G28" s="201"/>
      <c r="H28" s="201"/>
      <c r="I28" s="202"/>
      <c r="J28" s="202"/>
    </row>
    <row r="29" spans="1:10" x14ac:dyDescent="0.2">
      <c r="A29" s="73"/>
      <c r="B29" s="61"/>
      <c r="C29" s="200"/>
      <c r="D29" s="203"/>
      <c r="E29" s="201"/>
      <c r="F29" s="203"/>
      <c r="G29" s="201"/>
      <c r="H29" s="203"/>
      <c r="I29" s="202"/>
      <c r="J29" s="202"/>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2"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D33D-DDDE-443A-A110-5A0B076CA03E}">
  <sheetPr>
    <pageSetUpPr fitToPage="1"/>
  </sheetPr>
  <dimension ref="A1:K628"/>
  <sheetViews>
    <sheetView zoomScaleNormal="100" workbookViewId="0">
      <selection activeCell="F36" sqref="F36"/>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85546875" style="65" bestFit="1" customWidth="1"/>
    <col min="9" max="9" width="6.14062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192</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#9436.00'!B6</f>
        <v>Project Manager - James T.</v>
      </c>
      <c r="B6" s="11"/>
      <c r="C6" s="48"/>
      <c r="D6" s="49" t="s">
        <v>91</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193</v>
      </c>
      <c r="B9" s="60">
        <v>45762</v>
      </c>
      <c r="C9" s="61" t="s">
        <v>88</v>
      </c>
      <c r="D9" s="204">
        <v>128545.99</v>
      </c>
      <c r="E9" s="63">
        <f>D9</f>
        <v>128545.99</v>
      </c>
      <c r="F9" s="64"/>
      <c r="G9" s="64"/>
      <c r="H9" s="64">
        <f>E9</f>
        <v>128545.99</v>
      </c>
    </row>
    <row r="10" spans="1:9" x14ac:dyDescent="0.2">
      <c r="A10" s="59" t="s">
        <v>220</v>
      </c>
      <c r="B10" s="66">
        <v>45785</v>
      </c>
      <c r="C10" s="61" t="s">
        <v>221</v>
      </c>
      <c r="D10" s="63"/>
      <c r="E10" s="63">
        <f t="shared" ref="E10:E21" si="0">E9+D10</f>
        <v>128545.99</v>
      </c>
      <c r="F10" s="207">
        <v>4770.75</v>
      </c>
      <c r="G10" s="64">
        <f t="shared" ref="G10:G21" si="1">G9+F10</f>
        <v>4770.75</v>
      </c>
      <c r="H10" s="64">
        <f t="shared" ref="H10:H21" si="2">H9-F10+D10</f>
        <v>123775.24</v>
      </c>
    </row>
    <row r="11" spans="1:9" x14ac:dyDescent="0.2">
      <c r="A11" s="59" t="s">
        <v>255</v>
      </c>
      <c r="B11" s="60">
        <v>45827</v>
      </c>
      <c r="C11" s="61" t="s">
        <v>256</v>
      </c>
      <c r="D11" s="63"/>
      <c r="E11" s="63">
        <f t="shared" si="0"/>
        <v>128545.99</v>
      </c>
      <c r="F11" s="207">
        <v>10491.3</v>
      </c>
      <c r="G11" s="64">
        <f t="shared" si="1"/>
        <v>15262.05</v>
      </c>
      <c r="H11" s="64">
        <f t="shared" si="2"/>
        <v>113283.94</v>
      </c>
    </row>
    <row r="12" spans="1:9" x14ac:dyDescent="0.2">
      <c r="A12" s="276" t="s">
        <v>285</v>
      </c>
      <c r="B12" s="277">
        <v>45855</v>
      </c>
      <c r="C12" s="278" t="s">
        <v>286</v>
      </c>
      <c r="D12" s="288"/>
      <c r="E12" s="279">
        <f t="shared" si="0"/>
        <v>128545.99</v>
      </c>
      <c r="F12" s="280">
        <v>8199.99</v>
      </c>
      <c r="G12" s="281">
        <f t="shared" si="1"/>
        <v>23462.04</v>
      </c>
      <c r="H12" s="281">
        <f t="shared" si="2"/>
        <v>105083.95</v>
      </c>
      <c r="I12" s="282" t="s">
        <v>289</v>
      </c>
    </row>
    <row r="13" spans="1:9" x14ac:dyDescent="0.2">
      <c r="A13" s="59" t="s">
        <v>296</v>
      </c>
      <c r="B13" s="60">
        <v>45891</v>
      </c>
      <c r="C13" s="61" t="s">
        <v>291</v>
      </c>
      <c r="D13" s="204">
        <v>0</v>
      </c>
      <c r="E13" s="63">
        <f t="shared" si="0"/>
        <v>128545.99</v>
      </c>
      <c r="F13" s="67"/>
      <c r="G13" s="64">
        <f t="shared" si="1"/>
        <v>23462.04</v>
      </c>
      <c r="H13" s="64">
        <f t="shared" si="2"/>
        <v>105083.95</v>
      </c>
    </row>
    <row r="14" spans="1:9" x14ac:dyDescent="0.2">
      <c r="A14" s="59" t="s">
        <v>310</v>
      </c>
      <c r="B14" s="60">
        <v>45910</v>
      </c>
      <c r="C14" s="61" t="s">
        <v>311</v>
      </c>
      <c r="D14" s="63"/>
      <c r="E14" s="63">
        <f t="shared" si="0"/>
        <v>128545.99</v>
      </c>
      <c r="F14" s="207">
        <v>6583.9</v>
      </c>
      <c r="G14" s="64">
        <f t="shared" si="1"/>
        <v>30045.940000000002</v>
      </c>
      <c r="H14" s="64">
        <f t="shared" si="2"/>
        <v>98500.05</v>
      </c>
    </row>
    <row r="15" spans="1:9" x14ac:dyDescent="0.2">
      <c r="A15" s="59" t="s">
        <v>327</v>
      </c>
      <c r="B15" s="60">
        <v>45922</v>
      </c>
      <c r="C15" s="61" t="s">
        <v>328</v>
      </c>
      <c r="D15" s="63"/>
      <c r="E15" s="63">
        <f t="shared" si="0"/>
        <v>128545.99</v>
      </c>
      <c r="F15" s="207">
        <v>18724.830000000002</v>
      </c>
      <c r="G15" s="64">
        <f t="shared" si="1"/>
        <v>48770.770000000004</v>
      </c>
      <c r="H15" s="64">
        <f t="shared" si="2"/>
        <v>79775.22</v>
      </c>
    </row>
    <row r="16" spans="1:9" x14ac:dyDescent="0.2">
      <c r="A16" s="59" t="s">
        <v>341</v>
      </c>
      <c r="B16" s="60">
        <v>45939</v>
      </c>
      <c r="C16" s="61" t="s">
        <v>342</v>
      </c>
      <c r="D16" s="63"/>
      <c r="E16" s="63">
        <f t="shared" si="0"/>
        <v>128545.99</v>
      </c>
      <c r="F16" s="207">
        <v>32038.03</v>
      </c>
      <c r="G16" s="64">
        <f t="shared" si="1"/>
        <v>80808.800000000003</v>
      </c>
      <c r="H16" s="64">
        <f t="shared" si="2"/>
        <v>47737.19</v>
      </c>
    </row>
    <row r="17" spans="1:11" x14ac:dyDescent="0.2">
      <c r="A17" s="59"/>
      <c r="B17" s="60"/>
      <c r="C17" s="61"/>
      <c r="D17" s="63"/>
      <c r="E17" s="63">
        <f t="shared" si="0"/>
        <v>128545.99</v>
      </c>
      <c r="F17" s="67"/>
      <c r="G17" s="64">
        <f t="shared" si="1"/>
        <v>80808.800000000003</v>
      </c>
      <c r="H17" s="64">
        <f t="shared" si="2"/>
        <v>47737.19</v>
      </c>
      <c r="K17" s="65" t="s">
        <v>343</v>
      </c>
    </row>
    <row r="18" spans="1:11" x14ac:dyDescent="0.2">
      <c r="A18" s="59"/>
      <c r="B18" s="60"/>
      <c r="C18" s="61"/>
      <c r="D18" s="63"/>
      <c r="E18" s="63">
        <f t="shared" si="0"/>
        <v>128545.99</v>
      </c>
      <c r="F18" s="67"/>
      <c r="G18" s="64">
        <f t="shared" si="1"/>
        <v>80808.800000000003</v>
      </c>
      <c r="H18" s="64">
        <f t="shared" si="2"/>
        <v>47737.19</v>
      </c>
    </row>
    <row r="19" spans="1:11" x14ac:dyDescent="0.2">
      <c r="A19" s="59"/>
      <c r="B19" s="60"/>
      <c r="C19" s="61"/>
      <c r="D19" s="63"/>
      <c r="E19" s="63">
        <f t="shared" si="0"/>
        <v>128545.99</v>
      </c>
      <c r="F19" s="64"/>
      <c r="G19" s="64">
        <f t="shared" si="1"/>
        <v>80808.800000000003</v>
      </c>
      <c r="H19" s="64">
        <f t="shared" si="2"/>
        <v>47737.19</v>
      </c>
    </row>
    <row r="20" spans="1:11" x14ac:dyDescent="0.2">
      <c r="A20" s="59"/>
      <c r="B20" s="60"/>
      <c r="C20" s="61"/>
      <c r="D20" s="63"/>
      <c r="E20" s="63">
        <f t="shared" si="0"/>
        <v>128545.99</v>
      </c>
      <c r="F20" s="64"/>
      <c r="G20" s="64">
        <f t="shared" si="1"/>
        <v>80808.800000000003</v>
      </c>
      <c r="H20" s="64">
        <f t="shared" si="2"/>
        <v>47737.19</v>
      </c>
    </row>
    <row r="21" spans="1:11" x14ac:dyDescent="0.2">
      <c r="A21" s="59"/>
      <c r="B21" s="60"/>
      <c r="C21" s="68"/>
      <c r="D21" s="63"/>
      <c r="E21" s="63">
        <f t="shared" si="0"/>
        <v>128545.99</v>
      </c>
      <c r="F21" s="64"/>
      <c r="G21" s="64">
        <f t="shared" si="1"/>
        <v>80808.800000000003</v>
      </c>
      <c r="H21" s="64">
        <f t="shared" si="2"/>
        <v>47737.19</v>
      </c>
    </row>
    <row r="22" spans="1:11" x14ac:dyDescent="0.2">
      <c r="A22" s="59"/>
      <c r="B22" s="61"/>
      <c r="C22" s="69"/>
      <c r="D22" s="64"/>
      <c r="E22" s="64"/>
      <c r="F22" s="64"/>
      <c r="G22" s="64"/>
      <c r="H22" s="64"/>
    </row>
    <row r="23" spans="1:11" ht="13.5" thickBot="1" x14ac:dyDescent="0.25">
      <c r="A23" s="59"/>
      <c r="B23" s="70"/>
      <c r="C23" s="71" t="s">
        <v>28</v>
      </c>
      <c r="D23" s="72">
        <f>SUM(D9:D22)</f>
        <v>128545.99</v>
      </c>
      <c r="E23" s="72"/>
      <c r="F23" s="72">
        <f>SUM(F9:F22)</f>
        <v>80808.800000000003</v>
      </c>
      <c r="G23" s="72"/>
      <c r="H23" s="72">
        <f>D23-F23</f>
        <v>47737.19</v>
      </c>
      <c r="I23" s="44"/>
    </row>
    <row r="24" spans="1:11" ht="13.5" thickTop="1" x14ac:dyDescent="0.2">
      <c r="A24" s="73"/>
      <c r="B24" s="61"/>
      <c r="C24" s="69"/>
      <c r="D24" s="64"/>
      <c r="E24" s="64"/>
      <c r="F24" s="64"/>
      <c r="G24" s="64"/>
      <c r="H24" s="64"/>
    </row>
    <row r="25" spans="1:11" x14ac:dyDescent="0.2">
      <c r="A25" s="73"/>
      <c r="B25" s="61"/>
      <c r="C25" s="69"/>
      <c r="D25" s="64"/>
      <c r="E25" s="64"/>
      <c r="F25" s="64"/>
      <c r="G25" s="64"/>
      <c r="H25" s="64"/>
    </row>
    <row r="26" spans="1:11" x14ac:dyDescent="0.2">
      <c r="A26" s="73"/>
      <c r="B26" s="61"/>
      <c r="C26" s="69" t="s">
        <v>116</v>
      </c>
      <c r="D26" s="64">
        <v>96030.31</v>
      </c>
      <c r="E26" s="64"/>
      <c r="F26" s="64">
        <f>4220.36+8840.12+5998.42+5483.12+16287.86+26121.02</f>
        <v>66950.900000000009</v>
      </c>
      <c r="G26" s="64"/>
      <c r="H26" s="64">
        <f>SUM(D26-F26)</f>
        <v>29079.409999999989</v>
      </c>
    </row>
    <row r="27" spans="1:11" x14ac:dyDescent="0.2">
      <c r="A27" s="73"/>
      <c r="B27" s="61"/>
      <c r="C27" s="69" t="s">
        <v>117</v>
      </c>
      <c r="D27" s="64">
        <v>10500</v>
      </c>
      <c r="E27" s="64"/>
      <c r="F27" s="64">
        <f>235.4+413.09</f>
        <v>648.49</v>
      </c>
      <c r="G27" s="64"/>
      <c r="H27" s="64">
        <f>D27-F27</f>
        <v>9851.51</v>
      </c>
      <c r="I27" s="202"/>
      <c r="J27" s="202"/>
    </row>
    <row r="28" spans="1:11" x14ac:dyDescent="0.2">
      <c r="A28" s="73"/>
      <c r="B28" s="61"/>
      <c r="C28" s="69" t="s">
        <v>194</v>
      </c>
      <c r="D28" s="64">
        <v>22015.68</v>
      </c>
      <c r="E28" s="64"/>
      <c r="F28" s="64">
        <f>550.39+1651.18+2201.57+1100.78+2201.57+5503.92</f>
        <v>13209.41</v>
      </c>
      <c r="G28" s="64"/>
      <c r="H28" s="64">
        <f>D28-F28</f>
        <v>8806.27</v>
      </c>
      <c r="I28" s="202"/>
      <c r="J28" s="202"/>
    </row>
    <row r="29" spans="1:11" ht="13.5" thickBot="1" x14ac:dyDescent="0.25">
      <c r="A29" s="73"/>
      <c r="B29" s="61"/>
      <c r="C29" s="96" t="s">
        <v>111</v>
      </c>
      <c r="D29" s="72">
        <f>SUM(D25:D28)</f>
        <v>128545.98999999999</v>
      </c>
      <c r="E29" s="211"/>
      <c r="F29" s="72">
        <f>SUM(F25:F28)</f>
        <v>80808.800000000017</v>
      </c>
      <c r="G29" s="211"/>
      <c r="H29" s="72">
        <f>SUM(H25:H28)</f>
        <v>47737.189999999988</v>
      </c>
      <c r="I29" s="202"/>
      <c r="J29" s="202"/>
    </row>
    <row r="30" spans="1:11" ht="13.5" thickTop="1" x14ac:dyDescent="0.2">
      <c r="A30" s="73"/>
      <c r="B30" s="61"/>
      <c r="C30" s="69"/>
      <c r="D30" s="64"/>
      <c r="E30" s="64"/>
      <c r="F30" s="64"/>
      <c r="G30" s="64"/>
      <c r="H30" s="64"/>
      <c r="I30" s="202"/>
      <c r="J30" s="202"/>
    </row>
    <row r="31" spans="1:11" x14ac:dyDescent="0.2">
      <c r="A31" s="73"/>
      <c r="B31" s="61"/>
      <c r="C31" s="69"/>
      <c r="D31" s="64"/>
      <c r="E31" s="64"/>
      <c r="F31" s="64"/>
      <c r="G31" s="64"/>
      <c r="H31" s="64"/>
    </row>
    <row r="32" spans="1:11"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6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98E5-A18B-49A3-AF50-E1C7137F1235}">
  <sheetPr>
    <tabColor rgb="FF0070C0"/>
    <pageSetUpPr fitToPage="1"/>
  </sheetPr>
  <dimension ref="A1:J628"/>
  <sheetViews>
    <sheetView zoomScaleNormal="100" workbookViewId="0">
      <selection activeCell="B24" sqref="B24"/>
    </sheetView>
  </sheetViews>
  <sheetFormatPr defaultColWidth="11.42578125" defaultRowHeight="12.75" x14ac:dyDescent="0.2"/>
  <cols>
    <col min="1" max="1" width="24.5703125" style="256" customWidth="1"/>
    <col min="2" max="2" width="9.42578125" style="244" customWidth="1"/>
    <col min="3" max="3" width="25" style="252" bestFit="1" customWidth="1"/>
    <col min="4" max="4" width="14.42578125" style="50" customWidth="1"/>
    <col min="5" max="5" width="13.5703125" style="262" customWidth="1"/>
    <col min="6" max="6" width="12.42578125" style="262" customWidth="1"/>
    <col min="7" max="7" width="10.5703125" style="262" customWidth="1"/>
    <col min="8" max="8" width="12.42578125" style="50" customWidth="1"/>
    <col min="9" max="9" width="5" style="50" customWidth="1"/>
    <col min="10" max="16384" width="11.42578125" style="50"/>
  </cols>
  <sheetData>
    <row r="1" spans="1:9" s="225" customFormat="1" ht="24.75" customHeight="1" x14ac:dyDescent="0.25">
      <c r="A1" s="36" t="str">
        <f>'RECAP #9436.00'!B1</f>
        <v>DAS TH Residence Elevator Replacement</v>
      </c>
      <c r="B1" s="36"/>
      <c r="C1" s="223"/>
      <c r="D1" s="223"/>
      <c r="E1" s="223"/>
      <c r="F1" s="224"/>
      <c r="G1" s="224"/>
    </row>
    <row r="2" spans="1:9" s="225" customFormat="1" ht="15.75" x14ac:dyDescent="0.25">
      <c r="A2" s="226" t="str">
        <f>'RECAP #9436.00'!B2</f>
        <v>Project # 9436.00</v>
      </c>
      <c r="B2" s="227"/>
      <c r="C2" s="223"/>
      <c r="D2" s="223"/>
      <c r="E2" s="223"/>
      <c r="F2" s="224"/>
      <c r="G2" s="224"/>
    </row>
    <row r="3" spans="1:9" s="225" customFormat="1" ht="15.75" x14ac:dyDescent="0.25">
      <c r="A3" s="228" t="str">
        <f>'RECAP #9436.00'!B3</f>
        <v>Program code 943600</v>
      </c>
      <c r="B3" s="227"/>
      <c r="C3" s="223"/>
      <c r="D3" s="229" t="str">
        <f>'RECAP #9436.00'!E3</f>
        <v>Major Program 4D03</v>
      </c>
      <c r="E3" s="223"/>
      <c r="F3" s="224"/>
      <c r="G3" s="224"/>
    </row>
    <row r="4" spans="1:9" s="225" customFormat="1" ht="15.75" x14ac:dyDescent="0.25">
      <c r="A4" s="36" t="s">
        <v>211</v>
      </c>
      <c r="B4" s="37"/>
      <c r="D4" s="230" t="s">
        <v>212</v>
      </c>
      <c r="E4" s="231"/>
      <c r="F4" s="224"/>
      <c r="G4" s="224"/>
    </row>
    <row r="5" spans="1:9" s="225" customFormat="1" ht="15.75" x14ac:dyDescent="0.25">
      <c r="A5" s="232" t="s">
        <v>86</v>
      </c>
      <c r="C5" s="233"/>
      <c r="D5" s="44" t="s">
        <v>213</v>
      </c>
      <c r="E5" s="50"/>
      <c r="F5" s="234"/>
      <c r="G5" s="224"/>
    </row>
    <row r="6" spans="1:9" s="225" customFormat="1" ht="15.75" x14ac:dyDescent="0.25">
      <c r="A6" s="235" t="str">
        <f>'RECAP #9436.00'!B6</f>
        <v>Project Manager - James T.</v>
      </c>
      <c r="B6" s="37"/>
      <c r="C6" s="236"/>
      <c r="D6" s="237" t="s">
        <v>162</v>
      </c>
      <c r="E6" s="50"/>
      <c r="F6" s="51"/>
      <c r="G6" s="224"/>
    </row>
    <row r="7" spans="1:9" s="225" customFormat="1" ht="15.75" x14ac:dyDescent="0.25">
      <c r="B7" s="238"/>
      <c r="C7" s="238"/>
      <c r="E7" s="53"/>
      <c r="F7" s="54"/>
      <c r="G7" s="224"/>
      <c r="I7" s="225" t="s">
        <v>5</v>
      </c>
    </row>
    <row r="8" spans="1:9" s="225" customFormat="1" ht="32.25" thickBot="1" x14ac:dyDescent="0.3">
      <c r="A8" s="239" t="s">
        <v>20</v>
      </c>
      <c r="B8" s="240" t="s">
        <v>21</v>
      </c>
      <c r="C8" s="241" t="s">
        <v>22</v>
      </c>
      <c r="D8" s="220" t="s">
        <v>23</v>
      </c>
      <c r="E8" s="220" t="s">
        <v>24</v>
      </c>
      <c r="F8" s="220" t="s">
        <v>25</v>
      </c>
      <c r="G8" s="220" t="s">
        <v>26</v>
      </c>
      <c r="H8" s="220" t="s">
        <v>27</v>
      </c>
      <c r="I8" s="225" t="s">
        <v>5</v>
      </c>
    </row>
    <row r="9" spans="1:9" x14ac:dyDescent="0.2">
      <c r="A9" s="299" t="s">
        <v>215</v>
      </c>
      <c r="B9" s="300">
        <v>45784</v>
      </c>
      <c r="C9" s="301" t="s">
        <v>214</v>
      </c>
      <c r="D9" s="302"/>
      <c r="E9" s="303">
        <f>D9</f>
        <v>0</v>
      </c>
      <c r="F9" s="304"/>
      <c r="G9" s="304"/>
      <c r="H9" s="304">
        <f>E9</f>
        <v>0</v>
      </c>
      <c r="I9" s="305" t="s">
        <v>289</v>
      </c>
    </row>
    <row r="10" spans="1:9" x14ac:dyDescent="0.2">
      <c r="A10" s="242" t="s">
        <v>305</v>
      </c>
      <c r="B10" s="243">
        <v>45891</v>
      </c>
      <c r="C10" s="244" t="s">
        <v>291</v>
      </c>
      <c r="D10" s="245">
        <v>0</v>
      </c>
      <c r="E10" s="246">
        <f t="shared" ref="E10:E21" si="0">E9+D10</f>
        <v>0</v>
      </c>
      <c r="F10" s="249"/>
      <c r="G10" s="247">
        <f t="shared" ref="G10:G21" si="1">G9+F10</f>
        <v>0</v>
      </c>
      <c r="H10" s="247">
        <f t="shared" ref="H10:H21" si="2">H9-F10+D10</f>
        <v>0</v>
      </c>
    </row>
    <row r="11" spans="1:9" x14ac:dyDescent="0.2">
      <c r="A11" s="242"/>
      <c r="B11" s="283"/>
      <c r="C11" s="244"/>
      <c r="D11" s="246"/>
      <c r="E11" s="246">
        <f t="shared" si="0"/>
        <v>0</v>
      </c>
      <c r="F11" s="249"/>
      <c r="G11" s="247">
        <f t="shared" si="1"/>
        <v>0</v>
      </c>
      <c r="H11" s="247">
        <f t="shared" si="2"/>
        <v>0</v>
      </c>
    </row>
    <row r="12" spans="1:9" x14ac:dyDescent="0.2">
      <c r="A12" s="242"/>
      <c r="B12" s="243"/>
      <c r="C12" s="244"/>
      <c r="D12" s="245"/>
      <c r="E12" s="246">
        <f t="shared" si="0"/>
        <v>0</v>
      </c>
      <c r="F12" s="249"/>
      <c r="G12" s="247">
        <f t="shared" si="1"/>
        <v>0</v>
      </c>
      <c r="H12" s="247">
        <f t="shared" si="2"/>
        <v>0</v>
      </c>
    </row>
    <row r="13" spans="1:9" x14ac:dyDescent="0.2">
      <c r="A13" s="242"/>
      <c r="B13" s="243"/>
      <c r="C13" s="244"/>
      <c r="D13" s="246"/>
      <c r="E13" s="246">
        <f t="shared" si="0"/>
        <v>0</v>
      </c>
      <c r="F13" s="249"/>
      <c r="G13" s="247">
        <f t="shared" si="1"/>
        <v>0</v>
      </c>
      <c r="H13" s="247">
        <f t="shared" si="2"/>
        <v>0</v>
      </c>
    </row>
    <row r="14" spans="1:9" x14ac:dyDescent="0.2">
      <c r="A14" s="242"/>
      <c r="B14" s="243"/>
      <c r="C14" s="244"/>
      <c r="D14" s="246"/>
      <c r="E14" s="246">
        <f t="shared" si="0"/>
        <v>0</v>
      </c>
      <c r="F14" s="249"/>
      <c r="G14" s="247">
        <f t="shared" si="1"/>
        <v>0</v>
      </c>
      <c r="H14" s="247">
        <f t="shared" si="2"/>
        <v>0</v>
      </c>
    </row>
    <row r="15" spans="1:9" x14ac:dyDescent="0.2">
      <c r="A15" s="242"/>
      <c r="B15" s="243"/>
      <c r="C15" s="244"/>
      <c r="D15" s="246"/>
      <c r="E15" s="246">
        <f t="shared" si="0"/>
        <v>0</v>
      </c>
      <c r="F15" s="249"/>
      <c r="G15" s="247">
        <f t="shared" si="1"/>
        <v>0</v>
      </c>
      <c r="H15" s="247">
        <f t="shared" si="2"/>
        <v>0</v>
      </c>
    </row>
    <row r="16" spans="1:9" x14ac:dyDescent="0.2">
      <c r="A16" s="242"/>
      <c r="B16" s="243"/>
      <c r="C16" s="244"/>
      <c r="D16" s="246"/>
      <c r="E16" s="246">
        <f t="shared" si="0"/>
        <v>0</v>
      </c>
      <c r="F16" s="249"/>
      <c r="G16" s="247">
        <f t="shared" si="1"/>
        <v>0</v>
      </c>
      <c r="H16" s="247">
        <f t="shared" si="2"/>
        <v>0</v>
      </c>
    </row>
    <row r="17" spans="1:10" x14ac:dyDescent="0.2">
      <c r="A17" s="242"/>
      <c r="B17" s="243"/>
      <c r="C17" s="244"/>
      <c r="D17" s="246"/>
      <c r="E17" s="246">
        <f t="shared" si="0"/>
        <v>0</v>
      </c>
      <c r="F17" s="249"/>
      <c r="G17" s="247">
        <f t="shared" si="1"/>
        <v>0</v>
      </c>
      <c r="H17" s="247">
        <f t="shared" si="2"/>
        <v>0</v>
      </c>
    </row>
    <row r="18" spans="1:10" x14ac:dyDescent="0.2">
      <c r="A18" s="242"/>
      <c r="B18" s="243"/>
      <c r="C18" s="244"/>
      <c r="D18" s="246"/>
      <c r="E18" s="246">
        <f t="shared" si="0"/>
        <v>0</v>
      </c>
      <c r="F18" s="249"/>
      <c r="G18" s="247">
        <f t="shared" si="1"/>
        <v>0</v>
      </c>
      <c r="H18" s="247">
        <f t="shared" si="2"/>
        <v>0</v>
      </c>
    </row>
    <row r="19" spans="1:10" x14ac:dyDescent="0.2">
      <c r="A19" s="242"/>
      <c r="B19" s="243"/>
      <c r="C19" s="244"/>
      <c r="D19" s="246"/>
      <c r="E19" s="246">
        <f t="shared" si="0"/>
        <v>0</v>
      </c>
      <c r="F19" s="247"/>
      <c r="G19" s="247">
        <f t="shared" si="1"/>
        <v>0</v>
      </c>
      <c r="H19" s="247">
        <f t="shared" si="2"/>
        <v>0</v>
      </c>
    </row>
    <row r="20" spans="1:10" x14ac:dyDescent="0.2">
      <c r="A20" s="242"/>
      <c r="B20" s="243"/>
      <c r="C20" s="244"/>
      <c r="D20" s="246"/>
      <c r="E20" s="246">
        <f t="shared" si="0"/>
        <v>0</v>
      </c>
      <c r="F20" s="247"/>
      <c r="G20" s="247">
        <f t="shared" si="1"/>
        <v>0</v>
      </c>
      <c r="H20" s="247">
        <f t="shared" si="2"/>
        <v>0</v>
      </c>
    </row>
    <row r="21" spans="1:10" x14ac:dyDescent="0.2">
      <c r="A21" s="242"/>
      <c r="B21" s="243"/>
      <c r="C21" s="251"/>
      <c r="D21" s="246"/>
      <c r="E21" s="246">
        <f t="shared" si="0"/>
        <v>0</v>
      </c>
      <c r="F21" s="247"/>
      <c r="G21" s="247">
        <f t="shared" si="1"/>
        <v>0</v>
      </c>
      <c r="H21" s="247">
        <f t="shared" si="2"/>
        <v>0</v>
      </c>
    </row>
    <row r="22" spans="1:10" x14ac:dyDescent="0.2">
      <c r="A22" s="242"/>
      <c r="D22" s="247"/>
      <c r="E22" s="247"/>
      <c r="F22" s="247"/>
      <c r="G22" s="247"/>
      <c r="H22" s="247"/>
    </row>
    <row r="23" spans="1:10" ht="13.5" thickBot="1" x14ac:dyDescent="0.25">
      <c r="A23" s="242"/>
      <c r="B23" s="253"/>
      <c r="C23" s="254" t="s">
        <v>28</v>
      </c>
      <c r="D23" s="255">
        <f>SUM(D9:D22)</f>
        <v>0</v>
      </c>
      <c r="E23" s="255"/>
      <c r="F23" s="255">
        <f>SUM(F9:F22)</f>
        <v>0</v>
      </c>
      <c r="G23" s="255"/>
      <c r="H23" s="255">
        <f>D23-F23</f>
        <v>0</v>
      </c>
      <c r="I23" s="44"/>
    </row>
    <row r="24" spans="1:10" ht="13.5" thickTop="1" x14ac:dyDescent="0.2">
      <c r="D24" s="247"/>
      <c r="E24" s="247"/>
      <c r="F24" s="247"/>
      <c r="G24" s="247"/>
      <c r="H24" s="247"/>
    </row>
    <row r="25" spans="1:10" x14ac:dyDescent="0.2">
      <c r="D25" s="247"/>
      <c r="E25" s="247"/>
      <c r="F25" s="247"/>
      <c r="G25" s="247"/>
      <c r="H25" s="247"/>
    </row>
    <row r="26" spans="1:10" x14ac:dyDescent="0.2">
      <c r="C26" s="257"/>
      <c r="D26" s="258"/>
      <c r="E26" s="258"/>
      <c r="F26" s="258"/>
      <c r="G26" s="258"/>
      <c r="H26" s="258"/>
    </row>
    <row r="27" spans="1:10" x14ac:dyDescent="0.2">
      <c r="C27" s="257"/>
      <c r="D27" s="258"/>
      <c r="E27" s="258"/>
      <c r="F27" s="258"/>
      <c r="G27" s="258"/>
      <c r="H27" s="258"/>
      <c r="I27" s="259"/>
      <c r="J27" s="259"/>
    </row>
    <row r="28" spans="1:10" x14ac:dyDescent="0.2">
      <c r="C28" s="257"/>
      <c r="D28" s="258"/>
      <c r="E28" s="258"/>
      <c r="F28" s="258"/>
      <c r="G28" s="258"/>
      <c r="H28" s="258"/>
      <c r="I28" s="259"/>
      <c r="J28" s="259"/>
    </row>
    <row r="29" spans="1:10" x14ac:dyDescent="0.2">
      <c r="C29" s="306"/>
      <c r="D29" s="307"/>
      <c r="E29" s="307"/>
      <c r="F29" s="307"/>
      <c r="G29" s="307"/>
      <c r="H29" s="307"/>
      <c r="I29" s="259"/>
      <c r="J29" s="259"/>
    </row>
    <row r="30" spans="1:10" x14ac:dyDescent="0.2">
      <c r="D30" s="247"/>
      <c r="E30" s="247"/>
      <c r="F30" s="247"/>
      <c r="G30" s="247"/>
      <c r="H30" s="247"/>
      <c r="I30" s="259"/>
      <c r="J30" s="259"/>
    </row>
    <row r="31" spans="1:10" x14ac:dyDescent="0.2">
      <c r="D31" s="247"/>
      <c r="E31" s="247"/>
      <c r="F31" s="247"/>
      <c r="G31" s="247"/>
      <c r="H31" s="247"/>
    </row>
    <row r="32" spans="1:10" x14ac:dyDescent="0.2">
      <c r="D32" s="247"/>
      <c r="E32" s="247"/>
      <c r="F32" s="247"/>
      <c r="G32" s="247"/>
      <c r="H32" s="247"/>
    </row>
    <row r="33" spans="5:5" x14ac:dyDescent="0.2">
      <c r="E33" s="261"/>
    </row>
    <row r="34" spans="5:5" x14ac:dyDescent="0.2">
      <c r="E34" s="261"/>
    </row>
    <row r="35" spans="5:5" x14ac:dyDescent="0.2">
      <c r="E35" s="261"/>
    </row>
    <row r="36" spans="5:5" x14ac:dyDescent="0.2">
      <c r="E36" s="261"/>
    </row>
    <row r="37" spans="5:5" x14ac:dyDescent="0.2">
      <c r="E37" s="261"/>
    </row>
    <row r="38" spans="5:5" x14ac:dyDescent="0.2">
      <c r="E38" s="261"/>
    </row>
    <row r="39" spans="5:5" x14ac:dyDescent="0.2">
      <c r="E39" s="261"/>
    </row>
    <row r="40" spans="5:5" x14ac:dyDescent="0.2">
      <c r="E40" s="261"/>
    </row>
    <row r="41" spans="5:5" x14ac:dyDescent="0.2">
      <c r="E41" s="261"/>
    </row>
    <row r="42" spans="5:5" x14ac:dyDescent="0.2">
      <c r="E42" s="261"/>
    </row>
    <row r="43" spans="5:5" x14ac:dyDescent="0.2">
      <c r="E43" s="261"/>
    </row>
    <row r="44" spans="5:5" x14ac:dyDescent="0.2">
      <c r="E44" s="261"/>
    </row>
    <row r="45" spans="5:5" x14ac:dyDescent="0.2">
      <c r="E45" s="261"/>
    </row>
    <row r="46" spans="5:5" x14ac:dyDescent="0.2">
      <c r="E46" s="261"/>
    </row>
    <row r="47" spans="5:5" x14ac:dyDescent="0.2">
      <c r="E47" s="261"/>
    </row>
    <row r="48" spans="5:5" x14ac:dyDescent="0.2">
      <c r="E48" s="261"/>
    </row>
    <row r="49" spans="1:10" x14ac:dyDescent="0.2">
      <c r="E49" s="261"/>
    </row>
    <row r="50" spans="1:10" s="262" customFormat="1" x14ac:dyDescent="0.2">
      <c r="A50" s="256"/>
      <c r="B50" s="244"/>
      <c r="C50" s="252"/>
      <c r="D50" s="50"/>
      <c r="E50" s="261"/>
      <c r="H50" s="50"/>
      <c r="I50" s="50"/>
      <c r="J50" s="50"/>
    </row>
    <row r="51" spans="1:10" s="262" customFormat="1" x14ac:dyDescent="0.2">
      <c r="A51" s="256"/>
      <c r="B51" s="244"/>
      <c r="C51" s="252"/>
      <c r="D51" s="50"/>
      <c r="E51" s="261"/>
      <c r="H51" s="50"/>
      <c r="I51" s="50"/>
      <c r="J51" s="50"/>
    </row>
    <row r="52" spans="1:10" s="262" customFormat="1" x14ac:dyDescent="0.2">
      <c r="A52" s="256"/>
      <c r="B52" s="244"/>
      <c r="C52" s="252"/>
      <c r="D52" s="50"/>
      <c r="E52" s="261"/>
      <c r="H52" s="50"/>
      <c r="I52" s="50"/>
      <c r="J52" s="50"/>
    </row>
    <row r="53" spans="1:10" s="262" customFormat="1" x14ac:dyDescent="0.2">
      <c r="A53" s="256"/>
      <c r="B53" s="244"/>
      <c r="C53" s="252"/>
      <c r="D53" s="50"/>
      <c r="E53" s="261"/>
      <c r="H53" s="50"/>
      <c r="I53" s="50"/>
      <c r="J53" s="50"/>
    </row>
    <row r="54" spans="1:10" s="262" customFormat="1" x14ac:dyDescent="0.2">
      <c r="A54" s="256"/>
      <c r="B54" s="244"/>
      <c r="C54" s="252"/>
      <c r="D54" s="50"/>
      <c r="E54" s="261"/>
      <c r="H54" s="50"/>
      <c r="I54" s="50"/>
      <c r="J54" s="50"/>
    </row>
    <row r="55" spans="1:10" s="262" customFormat="1" x14ac:dyDescent="0.2">
      <c r="A55" s="256"/>
      <c r="B55" s="244"/>
      <c r="C55" s="252"/>
      <c r="D55" s="50"/>
      <c r="E55" s="261"/>
      <c r="H55" s="50"/>
      <c r="I55" s="50"/>
      <c r="J55" s="50"/>
    </row>
    <row r="56" spans="1:10" s="262" customFormat="1" x14ac:dyDescent="0.2">
      <c r="A56" s="256"/>
      <c r="B56" s="244"/>
      <c r="C56" s="252"/>
      <c r="D56" s="50"/>
      <c r="E56" s="261"/>
      <c r="H56" s="50"/>
      <c r="I56" s="50"/>
      <c r="J56" s="50"/>
    </row>
    <row r="57" spans="1:10" s="262" customFormat="1" x14ac:dyDescent="0.2">
      <c r="A57" s="256"/>
      <c r="B57" s="244"/>
      <c r="C57" s="252"/>
      <c r="D57" s="50"/>
      <c r="E57" s="261"/>
      <c r="H57" s="50"/>
      <c r="I57" s="50"/>
      <c r="J57" s="50"/>
    </row>
    <row r="58" spans="1:10" s="262" customFormat="1" x14ac:dyDescent="0.2">
      <c r="A58" s="256"/>
      <c r="B58" s="244"/>
      <c r="C58" s="252"/>
      <c r="D58" s="50"/>
      <c r="E58" s="261"/>
      <c r="H58" s="50"/>
      <c r="I58" s="50"/>
      <c r="J58" s="50"/>
    </row>
    <row r="59" spans="1:10" s="262" customFormat="1" x14ac:dyDescent="0.2">
      <c r="A59" s="256"/>
      <c r="B59" s="244"/>
      <c r="C59" s="252"/>
      <c r="D59" s="50"/>
      <c r="E59" s="261"/>
      <c r="H59" s="50"/>
      <c r="I59" s="50"/>
      <c r="J59" s="50"/>
    </row>
    <row r="60" spans="1:10" s="262" customFormat="1" x14ac:dyDescent="0.2">
      <c r="A60" s="256"/>
      <c r="B60" s="244"/>
      <c r="C60" s="252"/>
      <c r="D60" s="50"/>
      <c r="E60" s="261"/>
      <c r="H60" s="50"/>
      <c r="I60" s="50"/>
      <c r="J60" s="50"/>
    </row>
    <row r="61" spans="1:10" s="262" customFormat="1" x14ac:dyDescent="0.2">
      <c r="A61" s="256"/>
      <c r="B61" s="244"/>
      <c r="C61" s="252"/>
      <c r="D61" s="50"/>
      <c r="E61" s="261"/>
      <c r="H61" s="50"/>
      <c r="I61" s="50"/>
      <c r="J61" s="50"/>
    </row>
    <row r="62" spans="1:10" s="262" customFormat="1" x14ac:dyDescent="0.2">
      <c r="A62" s="256"/>
      <c r="B62" s="244"/>
      <c r="C62" s="252"/>
      <c r="D62" s="50"/>
      <c r="E62" s="261"/>
      <c r="H62" s="50"/>
      <c r="I62" s="50"/>
      <c r="J62" s="50"/>
    </row>
    <row r="63" spans="1:10" s="262" customFormat="1" x14ac:dyDescent="0.2">
      <c r="A63" s="256"/>
      <c r="B63" s="244"/>
      <c r="C63" s="252"/>
      <c r="D63" s="50"/>
      <c r="E63" s="261"/>
      <c r="H63" s="50"/>
      <c r="I63" s="50"/>
      <c r="J63" s="50"/>
    </row>
    <row r="64" spans="1:10" s="262" customFormat="1" x14ac:dyDescent="0.2">
      <c r="A64" s="256"/>
      <c r="B64" s="244"/>
      <c r="C64" s="252"/>
      <c r="D64" s="50"/>
      <c r="E64" s="261"/>
      <c r="H64" s="50"/>
      <c r="I64" s="50"/>
      <c r="J64" s="50"/>
    </row>
    <row r="65" spans="1:10" s="262" customFormat="1" x14ac:dyDescent="0.2">
      <c r="A65" s="256"/>
      <c r="B65" s="244"/>
      <c r="C65" s="252"/>
      <c r="D65" s="50"/>
      <c r="E65" s="261"/>
      <c r="H65" s="50"/>
      <c r="I65" s="50"/>
      <c r="J65" s="50"/>
    </row>
    <row r="66" spans="1:10" s="262" customFormat="1" x14ac:dyDescent="0.2">
      <c r="A66" s="256"/>
      <c r="B66" s="244"/>
      <c r="C66" s="252"/>
      <c r="D66" s="50"/>
      <c r="E66" s="261"/>
      <c r="H66" s="50"/>
      <c r="I66" s="50"/>
      <c r="J66" s="50"/>
    </row>
    <row r="67" spans="1:10" s="262" customFormat="1" x14ac:dyDescent="0.2">
      <c r="A67" s="256"/>
      <c r="B67" s="244"/>
      <c r="C67" s="252"/>
      <c r="D67" s="50"/>
      <c r="E67" s="261"/>
      <c r="H67" s="50"/>
      <c r="I67" s="50"/>
      <c r="J67" s="50"/>
    </row>
    <row r="68" spans="1:10" s="262" customFormat="1" x14ac:dyDescent="0.2">
      <c r="A68" s="256"/>
      <c r="B68" s="244"/>
      <c r="C68" s="252"/>
      <c r="D68" s="50"/>
      <c r="E68" s="261"/>
      <c r="H68" s="50"/>
      <c r="I68" s="50"/>
      <c r="J68" s="50"/>
    </row>
    <row r="69" spans="1:10" s="262" customFormat="1" x14ac:dyDescent="0.2">
      <c r="A69" s="256"/>
      <c r="B69" s="244"/>
      <c r="C69" s="252"/>
      <c r="D69" s="50"/>
      <c r="E69" s="261"/>
      <c r="H69" s="50"/>
      <c r="I69" s="50"/>
      <c r="J69" s="50"/>
    </row>
    <row r="70" spans="1:10" s="262" customFormat="1" x14ac:dyDescent="0.2">
      <c r="A70" s="256"/>
      <c r="B70" s="244"/>
      <c r="C70" s="252"/>
      <c r="D70" s="50"/>
      <c r="E70" s="261"/>
      <c r="H70" s="50"/>
      <c r="I70" s="50"/>
      <c r="J70" s="50"/>
    </row>
    <row r="71" spans="1:10" s="262" customFormat="1" x14ac:dyDescent="0.2">
      <c r="A71" s="256"/>
      <c r="B71" s="244"/>
      <c r="C71" s="252"/>
      <c r="D71" s="50"/>
      <c r="E71" s="261"/>
      <c r="H71" s="50"/>
      <c r="I71" s="50"/>
      <c r="J71" s="50"/>
    </row>
    <row r="72" spans="1:10" s="262" customFormat="1" x14ac:dyDescent="0.2">
      <c r="A72" s="256"/>
      <c r="B72" s="244"/>
      <c r="C72" s="252"/>
      <c r="D72" s="50"/>
      <c r="E72" s="261"/>
      <c r="H72" s="50"/>
      <c r="I72" s="50"/>
      <c r="J72" s="50"/>
    </row>
    <row r="73" spans="1:10" s="262" customFormat="1" x14ac:dyDescent="0.2">
      <c r="A73" s="256"/>
      <c r="B73" s="244"/>
      <c r="C73" s="252"/>
      <c r="D73" s="50"/>
      <c r="E73" s="261"/>
      <c r="H73" s="50"/>
      <c r="I73" s="50"/>
      <c r="J73" s="50"/>
    </row>
    <row r="74" spans="1:10" s="262" customFormat="1" x14ac:dyDescent="0.2">
      <c r="A74" s="256"/>
      <c r="B74" s="244"/>
      <c r="C74" s="252"/>
      <c r="D74" s="50"/>
      <c r="E74" s="261"/>
      <c r="H74" s="50"/>
      <c r="I74" s="50"/>
      <c r="J74" s="50"/>
    </row>
    <row r="75" spans="1:10" s="262" customFormat="1" x14ac:dyDescent="0.2">
      <c r="A75" s="256"/>
      <c r="B75" s="244"/>
      <c r="C75" s="252"/>
      <c r="D75" s="50"/>
      <c r="E75" s="261"/>
      <c r="H75" s="50"/>
      <c r="I75" s="50"/>
      <c r="J75" s="50"/>
    </row>
    <row r="76" spans="1:10" s="262" customFormat="1" x14ac:dyDescent="0.2">
      <c r="A76" s="256"/>
      <c r="B76" s="244"/>
      <c r="C76" s="252"/>
      <c r="D76" s="50"/>
      <c r="E76" s="261"/>
      <c r="H76" s="50"/>
      <c r="I76" s="50"/>
      <c r="J76" s="50"/>
    </row>
    <row r="77" spans="1:10" s="262" customFormat="1" x14ac:dyDescent="0.2">
      <c r="A77" s="256"/>
      <c r="B77" s="244"/>
      <c r="C77" s="252"/>
      <c r="D77" s="50"/>
      <c r="E77" s="261"/>
      <c r="H77" s="50"/>
      <c r="I77" s="50"/>
      <c r="J77" s="50"/>
    </row>
    <row r="78" spans="1:10" s="262" customFormat="1" x14ac:dyDescent="0.2">
      <c r="A78" s="256"/>
      <c r="B78" s="244"/>
      <c r="C78" s="252"/>
      <c r="D78" s="50"/>
      <c r="E78" s="261"/>
      <c r="H78" s="50"/>
      <c r="I78" s="50"/>
      <c r="J78" s="50"/>
    </row>
    <row r="79" spans="1:10" s="262" customFormat="1" x14ac:dyDescent="0.2">
      <c r="A79" s="256"/>
      <c r="B79" s="244"/>
      <c r="C79" s="252"/>
      <c r="D79" s="50"/>
      <c r="E79" s="261"/>
      <c r="H79" s="50"/>
      <c r="I79" s="50"/>
      <c r="J79" s="50"/>
    </row>
    <row r="80" spans="1:10" s="262" customFormat="1" x14ac:dyDescent="0.2">
      <c r="A80" s="256"/>
      <c r="B80" s="244"/>
      <c r="C80" s="252"/>
      <c r="D80" s="50"/>
      <c r="E80" s="261"/>
      <c r="H80" s="50"/>
      <c r="I80" s="50"/>
      <c r="J80" s="50"/>
    </row>
    <row r="81" spans="1:10" s="262" customFormat="1" x14ac:dyDescent="0.2">
      <c r="A81" s="256"/>
      <c r="B81" s="244"/>
      <c r="C81" s="252"/>
      <c r="D81" s="50"/>
      <c r="E81" s="261"/>
      <c r="H81" s="50"/>
      <c r="I81" s="50"/>
      <c r="J81" s="50"/>
    </row>
    <row r="82" spans="1:10" s="262" customFormat="1" x14ac:dyDescent="0.2">
      <c r="A82" s="256"/>
      <c r="B82" s="244"/>
      <c r="C82" s="252"/>
      <c r="D82" s="50"/>
      <c r="E82" s="261"/>
      <c r="H82" s="50"/>
      <c r="I82" s="50"/>
      <c r="J82" s="50"/>
    </row>
    <row r="83" spans="1:10" s="262" customFormat="1" x14ac:dyDescent="0.2">
      <c r="A83" s="256"/>
      <c r="B83" s="244"/>
      <c r="C83" s="252"/>
      <c r="D83" s="50"/>
      <c r="E83" s="261"/>
      <c r="H83" s="50"/>
      <c r="I83" s="50"/>
      <c r="J83" s="50"/>
    </row>
    <row r="84" spans="1:10" s="262" customFormat="1" x14ac:dyDescent="0.2">
      <c r="A84" s="256"/>
      <c r="B84" s="244"/>
      <c r="C84" s="252"/>
      <c r="D84" s="50"/>
      <c r="E84" s="261"/>
      <c r="H84" s="50"/>
      <c r="I84" s="50"/>
      <c r="J84" s="50"/>
    </row>
    <row r="85" spans="1:10" s="262" customFormat="1" x14ac:dyDescent="0.2">
      <c r="A85" s="256"/>
      <c r="B85" s="244"/>
      <c r="C85" s="252"/>
      <c r="D85" s="50"/>
      <c r="E85" s="261"/>
      <c r="H85" s="50"/>
      <c r="I85" s="50"/>
      <c r="J85" s="50"/>
    </row>
    <row r="86" spans="1:10" s="262" customFormat="1" x14ac:dyDescent="0.2">
      <c r="A86" s="256"/>
      <c r="B86" s="244"/>
      <c r="C86" s="252"/>
      <c r="D86" s="50"/>
      <c r="E86" s="261"/>
      <c r="H86" s="50"/>
      <c r="I86" s="50"/>
      <c r="J86" s="50"/>
    </row>
    <row r="87" spans="1:10" s="262" customFormat="1" x14ac:dyDescent="0.2">
      <c r="A87" s="256"/>
      <c r="B87" s="244"/>
      <c r="C87" s="252"/>
      <c r="D87" s="50"/>
      <c r="E87" s="261"/>
      <c r="H87" s="50"/>
      <c r="I87" s="50"/>
      <c r="J87" s="50"/>
    </row>
    <row r="88" spans="1:10" s="262" customFormat="1" x14ac:dyDescent="0.2">
      <c r="A88" s="256"/>
      <c r="B88" s="244"/>
      <c r="C88" s="252"/>
      <c r="D88" s="50"/>
      <c r="E88" s="261"/>
      <c r="H88" s="50"/>
      <c r="I88" s="50"/>
      <c r="J88" s="50"/>
    </row>
    <row r="89" spans="1:10" s="262" customFormat="1" x14ac:dyDescent="0.2">
      <c r="A89" s="256"/>
      <c r="B89" s="244"/>
      <c r="C89" s="252"/>
      <c r="D89" s="50"/>
      <c r="E89" s="261"/>
      <c r="H89" s="50"/>
      <c r="I89" s="50"/>
      <c r="J89" s="50"/>
    </row>
    <row r="90" spans="1:10" s="262" customFormat="1" x14ac:dyDescent="0.2">
      <c r="A90" s="256"/>
      <c r="B90" s="244"/>
      <c r="C90" s="252"/>
      <c r="D90" s="50"/>
      <c r="E90" s="261"/>
      <c r="H90" s="50"/>
      <c r="I90" s="50"/>
      <c r="J90" s="50"/>
    </row>
    <row r="91" spans="1:10" s="262" customFormat="1" x14ac:dyDescent="0.2">
      <c r="A91" s="256"/>
      <c r="B91" s="244"/>
      <c r="C91" s="252"/>
      <c r="D91" s="50"/>
      <c r="E91" s="261"/>
      <c r="H91" s="50"/>
      <c r="I91" s="50"/>
      <c r="J91" s="50"/>
    </row>
    <row r="92" spans="1:10" s="262" customFormat="1" x14ac:dyDescent="0.2">
      <c r="A92" s="256"/>
      <c r="B92" s="244"/>
      <c r="C92" s="252"/>
      <c r="D92" s="50"/>
      <c r="E92" s="261"/>
      <c r="H92" s="50"/>
      <c r="I92" s="50"/>
      <c r="J92" s="50"/>
    </row>
    <row r="93" spans="1:10" s="262" customFormat="1" x14ac:dyDescent="0.2">
      <c r="A93" s="256"/>
      <c r="B93" s="244"/>
      <c r="C93" s="252"/>
      <c r="D93" s="50"/>
      <c r="E93" s="261"/>
      <c r="H93" s="50"/>
      <c r="I93" s="50"/>
      <c r="J93" s="50"/>
    </row>
    <row r="94" spans="1:10" s="262" customFormat="1" x14ac:dyDescent="0.2">
      <c r="A94" s="256"/>
      <c r="B94" s="244"/>
      <c r="C94" s="252"/>
      <c r="D94" s="50"/>
      <c r="E94" s="261"/>
      <c r="H94" s="50"/>
      <c r="I94" s="50"/>
      <c r="J94" s="50"/>
    </row>
    <row r="95" spans="1:10" s="262" customFormat="1" x14ac:dyDescent="0.2">
      <c r="A95" s="256"/>
      <c r="B95" s="244"/>
      <c r="C95" s="252"/>
      <c r="D95" s="50"/>
      <c r="E95" s="261"/>
      <c r="H95" s="50"/>
      <c r="I95" s="50"/>
      <c r="J95" s="50"/>
    </row>
    <row r="96" spans="1:10" s="262" customFormat="1" x14ac:dyDescent="0.2">
      <c r="A96" s="256"/>
      <c r="B96" s="244"/>
      <c r="C96" s="252"/>
      <c r="D96" s="50"/>
      <c r="E96" s="261"/>
      <c r="H96" s="50"/>
      <c r="I96" s="50"/>
      <c r="J96" s="50"/>
    </row>
    <row r="97" spans="1:10" s="262" customFormat="1" x14ac:dyDescent="0.2">
      <c r="A97" s="256"/>
      <c r="B97" s="244"/>
      <c r="C97" s="252"/>
      <c r="D97" s="50"/>
      <c r="E97" s="261"/>
      <c r="H97" s="50"/>
      <c r="I97" s="50"/>
      <c r="J97" s="50"/>
    </row>
    <row r="98" spans="1:10" s="262" customFormat="1" x14ac:dyDescent="0.2">
      <c r="A98" s="256"/>
      <c r="B98" s="244"/>
      <c r="C98" s="252"/>
      <c r="D98" s="50"/>
      <c r="E98" s="261"/>
      <c r="H98" s="50"/>
      <c r="I98" s="50"/>
      <c r="J98" s="50"/>
    </row>
    <row r="99" spans="1:10" s="262" customFormat="1" x14ac:dyDescent="0.2">
      <c r="A99" s="256"/>
      <c r="B99" s="244"/>
      <c r="C99" s="252"/>
      <c r="D99" s="50"/>
      <c r="E99" s="261"/>
      <c r="H99" s="50"/>
      <c r="I99" s="50"/>
      <c r="J99" s="50"/>
    </row>
    <row r="100" spans="1:10" s="262" customFormat="1" x14ac:dyDescent="0.2">
      <c r="A100" s="256"/>
      <c r="B100" s="244"/>
      <c r="C100" s="252"/>
      <c r="D100" s="50"/>
      <c r="E100" s="261"/>
      <c r="H100" s="50"/>
      <c r="I100" s="50"/>
      <c r="J100" s="50"/>
    </row>
    <row r="101" spans="1:10" s="262" customFormat="1" x14ac:dyDescent="0.2">
      <c r="A101" s="256"/>
      <c r="B101" s="244"/>
      <c r="C101" s="252"/>
      <c r="D101" s="50"/>
      <c r="E101" s="261"/>
      <c r="H101" s="50"/>
      <c r="I101" s="50"/>
      <c r="J101" s="50"/>
    </row>
    <row r="102" spans="1:10" s="262" customFormat="1" x14ac:dyDescent="0.2">
      <c r="A102" s="256"/>
      <c r="B102" s="244"/>
      <c r="C102" s="252"/>
      <c r="D102" s="50"/>
      <c r="E102" s="261"/>
      <c r="H102" s="50"/>
      <c r="I102" s="50"/>
      <c r="J102" s="50"/>
    </row>
    <row r="103" spans="1:10" s="262" customFormat="1" x14ac:dyDescent="0.2">
      <c r="A103" s="256"/>
      <c r="B103" s="244"/>
      <c r="C103" s="252"/>
      <c r="D103" s="50"/>
      <c r="E103" s="261"/>
      <c r="H103" s="50"/>
      <c r="I103" s="50"/>
      <c r="J103" s="50"/>
    </row>
    <row r="104" spans="1:10" s="262" customFormat="1" x14ac:dyDescent="0.2">
      <c r="A104" s="256"/>
      <c r="B104" s="244"/>
      <c r="C104" s="252"/>
      <c r="D104" s="50"/>
      <c r="E104" s="261"/>
      <c r="H104" s="50"/>
      <c r="I104" s="50"/>
      <c r="J104" s="50"/>
    </row>
    <row r="105" spans="1:10" s="262" customFormat="1" x14ac:dyDescent="0.2">
      <c r="A105" s="256"/>
      <c r="B105" s="244"/>
      <c r="C105" s="252"/>
      <c r="D105" s="50"/>
      <c r="E105" s="261"/>
      <c r="H105" s="50"/>
      <c r="I105" s="50"/>
      <c r="J105" s="50"/>
    </row>
    <row r="106" spans="1:10" s="262" customFormat="1" x14ac:dyDescent="0.2">
      <c r="A106" s="256"/>
      <c r="B106" s="244"/>
      <c r="C106" s="252"/>
      <c r="D106" s="50"/>
      <c r="E106" s="261"/>
      <c r="H106" s="50"/>
      <c r="I106" s="50"/>
      <c r="J106" s="50"/>
    </row>
    <row r="107" spans="1:10" s="262" customFormat="1" x14ac:dyDescent="0.2">
      <c r="A107" s="256"/>
      <c r="B107" s="244"/>
      <c r="C107" s="252"/>
      <c r="D107" s="50"/>
      <c r="E107" s="261"/>
      <c r="H107" s="50"/>
      <c r="I107" s="50"/>
      <c r="J107" s="50"/>
    </row>
    <row r="108" spans="1:10" s="262" customFormat="1" x14ac:dyDescent="0.2">
      <c r="A108" s="256"/>
      <c r="B108" s="244"/>
      <c r="C108" s="252"/>
      <c r="D108" s="50"/>
      <c r="E108" s="261"/>
      <c r="H108" s="50"/>
      <c r="I108" s="50"/>
      <c r="J108" s="50"/>
    </row>
    <row r="109" spans="1:10" s="262" customFormat="1" x14ac:dyDescent="0.2">
      <c r="A109" s="256"/>
      <c r="B109" s="244"/>
      <c r="C109" s="252"/>
      <c r="D109" s="50"/>
      <c r="E109" s="261"/>
      <c r="H109" s="50"/>
      <c r="I109" s="50"/>
      <c r="J109" s="50"/>
    </row>
    <row r="110" spans="1:10" s="262" customFormat="1" x14ac:dyDescent="0.2">
      <c r="A110" s="256"/>
      <c r="B110" s="244"/>
      <c r="C110" s="252"/>
      <c r="D110" s="50"/>
      <c r="E110" s="261"/>
      <c r="H110" s="50"/>
      <c r="I110" s="50"/>
      <c r="J110" s="50"/>
    </row>
    <row r="111" spans="1:10" s="262" customFormat="1" x14ac:dyDescent="0.2">
      <c r="A111" s="256"/>
      <c r="B111" s="244"/>
      <c r="C111" s="252"/>
      <c r="D111" s="50"/>
      <c r="E111" s="261"/>
      <c r="H111" s="50"/>
      <c r="I111" s="50"/>
      <c r="J111" s="50"/>
    </row>
    <row r="112" spans="1:10" s="262" customFormat="1" x14ac:dyDescent="0.2">
      <c r="A112" s="256"/>
      <c r="B112" s="244"/>
      <c r="C112" s="252"/>
      <c r="D112" s="50"/>
      <c r="E112" s="261"/>
      <c r="H112" s="50"/>
      <c r="I112" s="50"/>
      <c r="J112" s="50"/>
    </row>
    <row r="113" spans="1:10" s="262" customFormat="1" x14ac:dyDescent="0.2">
      <c r="A113" s="256"/>
      <c r="B113" s="244"/>
      <c r="C113" s="252"/>
      <c r="D113" s="50"/>
      <c r="E113" s="261"/>
      <c r="H113" s="50"/>
      <c r="I113" s="50"/>
      <c r="J113" s="50"/>
    </row>
    <row r="114" spans="1:10" s="262" customFormat="1" x14ac:dyDescent="0.2">
      <c r="A114" s="256"/>
      <c r="B114" s="244"/>
      <c r="C114" s="252"/>
      <c r="D114" s="50"/>
      <c r="E114" s="261"/>
      <c r="H114" s="50"/>
      <c r="I114" s="50"/>
      <c r="J114" s="50"/>
    </row>
    <row r="115" spans="1:10" s="262" customFormat="1" x14ac:dyDescent="0.2">
      <c r="A115" s="256"/>
      <c r="B115" s="244"/>
      <c r="C115" s="252"/>
      <c r="D115" s="50"/>
      <c r="E115" s="261"/>
      <c r="H115" s="50"/>
      <c r="I115" s="50"/>
      <c r="J115" s="50"/>
    </row>
    <row r="116" spans="1:10" s="262" customFormat="1" x14ac:dyDescent="0.2">
      <c r="A116" s="256"/>
      <c r="B116" s="244"/>
      <c r="C116" s="252"/>
      <c r="D116" s="50"/>
      <c r="E116" s="261"/>
      <c r="H116" s="50"/>
      <c r="I116" s="50"/>
      <c r="J116" s="50"/>
    </row>
    <row r="117" spans="1:10" s="262" customFormat="1" x14ac:dyDescent="0.2">
      <c r="A117" s="256"/>
      <c r="B117" s="244"/>
      <c r="C117" s="252"/>
      <c r="D117" s="50"/>
      <c r="E117" s="261"/>
      <c r="H117" s="50"/>
      <c r="I117" s="50"/>
      <c r="J117" s="50"/>
    </row>
    <row r="118" spans="1:10" s="262" customFormat="1" x14ac:dyDescent="0.2">
      <c r="A118" s="256"/>
      <c r="B118" s="244"/>
      <c r="C118" s="252"/>
      <c r="D118" s="50"/>
      <c r="E118" s="261"/>
      <c r="H118" s="50"/>
      <c r="I118" s="50"/>
      <c r="J118" s="50"/>
    </row>
    <row r="119" spans="1:10" s="262" customFormat="1" x14ac:dyDescent="0.2">
      <c r="A119" s="256"/>
      <c r="B119" s="244"/>
      <c r="C119" s="252"/>
      <c r="D119" s="50"/>
      <c r="E119" s="261"/>
      <c r="H119" s="50"/>
      <c r="I119" s="50"/>
      <c r="J119" s="50"/>
    </row>
    <row r="120" spans="1:10" s="262" customFormat="1" x14ac:dyDescent="0.2">
      <c r="A120" s="256"/>
      <c r="B120" s="244"/>
      <c r="C120" s="252"/>
      <c r="D120" s="50"/>
      <c r="E120" s="261"/>
      <c r="H120" s="50"/>
      <c r="I120" s="50"/>
      <c r="J120" s="50"/>
    </row>
    <row r="121" spans="1:10" s="262" customFormat="1" x14ac:dyDescent="0.2">
      <c r="A121" s="256"/>
      <c r="B121" s="244"/>
      <c r="C121" s="252"/>
      <c r="D121" s="50"/>
      <c r="E121" s="261"/>
      <c r="H121" s="50"/>
      <c r="I121" s="50"/>
      <c r="J121" s="50"/>
    </row>
    <row r="122" spans="1:10" s="262" customFormat="1" x14ac:dyDescent="0.2">
      <c r="A122" s="256"/>
      <c r="B122" s="244"/>
      <c r="C122" s="252"/>
      <c r="D122" s="50"/>
      <c r="E122" s="261"/>
      <c r="H122" s="50"/>
      <c r="I122" s="50"/>
      <c r="J122" s="50"/>
    </row>
    <row r="123" spans="1:10" s="262" customFormat="1" x14ac:dyDescent="0.2">
      <c r="A123" s="256"/>
      <c r="B123" s="244"/>
      <c r="C123" s="252"/>
      <c r="D123" s="50"/>
      <c r="E123" s="261"/>
      <c r="H123" s="50"/>
      <c r="I123" s="50"/>
      <c r="J123" s="50"/>
    </row>
    <row r="124" spans="1:10" s="262" customFormat="1" x14ac:dyDescent="0.2">
      <c r="A124" s="256"/>
      <c r="B124" s="244"/>
      <c r="C124" s="252"/>
      <c r="D124" s="50"/>
      <c r="E124" s="261"/>
      <c r="H124" s="50"/>
      <c r="I124" s="50"/>
      <c r="J124" s="50"/>
    </row>
    <row r="125" spans="1:10" s="262" customFormat="1" x14ac:dyDescent="0.2">
      <c r="A125" s="256"/>
      <c r="B125" s="244"/>
      <c r="C125" s="252"/>
      <c r="D125" s="50"/>
      <c r="E125" s="261"/>
      <c r="H125" s="50"/>
      <c r="I125" s="50"/>
      <c r="J125" s="50"/>
    </row>
    <row r="126" spans="1:10" s="262" customFormat="1" x14ac:dyDescent="0.2">
      <c r="A126" s="256"/>
      <c r="B126" s="244"/>
      <c r="C126" s="252"/>
      <c r="D126" s="50"/>
      <c r="E126" s="261"/>
      <c r="H126" s="50"/>
      <c r="I126" s="50"/>
      <c r="J126" s="50"/>
    </row>
    <row r="127" spans="1:10" s="262" customFormat="1" x14ac:dyDescent="0.2">
      <c r="A127" s="256"/>
      <c r="B127" s="244"/>
      <c r="C127" s="252"/>
      <c r="D127" s="50"/>
      <c r="E127" s="261"/>
      <c r="H127" s="50"/>
      <c r="I127" s="50"/>
      <c r="J127" s="50"/>
    </row>
    <row r="128" spans="1:10" s="262" customFormat="1" x14ac:dyDescent="0.2">
      <c r="A128" s="256"/>
      <c r="B128" s="244"/>
      <c r="C128" s="252"/>
      <c r="D128" s="50"/>
      <c r="E128" s="261"/>
      <c r="H128" s="50"/>
      <c r="I128" s="50"/>
      <c r="J128" s="50"/>
    </row>
    <row r="129" spans="1:10" s="262" customFormat="1" x14ac:dyDescent="0.2">
      <c r="A129" s="256"/>
      <c r="B129" s="244"/>
      <c r="C129" s="252"/>
      <c r="D129" s="50"/>
      <c r="E129" s="261"/>
      <c r="H129" s="50"/>
      <c r="I129" s="50"/>
      <c r="J129" s="50"/>
    </row>
    <row r="130" spans="1:10" s="262" customFormat="1" x14ac:dyDescent="0.2">
      <c r="A130" s="256"/>
      <c r="B130" s="244"/>
      <c r="C130" s="252"/>
      <c r="D130" s="50"/>
      <c r="E130" s="261"/>
      <c r="H130" s="50"/>
      <c r="I130" s="50"/>
      <c r="J130" s="50"/>
    </row>
    <row r="131" spans="1:10" s="262" customFormat="1" x14ac:dyDescent="0.2">
      <c r="A131" s="256"/>
      <c r="B131" s="244"/>
      <c r="C131" s="252"/>
      <c r="D131" s="50"/>
      <c r="E131" s="261"/>
      <c r="H131" s="50"/>
      <c r="I131" s="50"/>
      <c r="J131" s="50"/>
    </row>
    <row r="132" spans="1:10" s="262" customFormat="1" x14ac:dyDescent="0.2">
      <c r="A132" s="256"/>
      <c r="B132" s="244"/>
      <c r="C132" s="252"/>
      <c r="D132" s="50"/>
      <c r="E132" s="261"/>
      <c r="H132" s="50"/>
      <c r="I132" s="50"/>
      <c r="J132" s="50"/>
    </row>
    <row r="133" spans="1:10" s="262" customFormat="1" x14ac:dyDescent="0.2">
      <c r="A133" s="256"/>
      <c r="B133" s="244"/>
      <c r="C133" s="252"/>
      <c r="D133" s="50"/>
      <c r="E133" s="261"/>
      <c r="H133" s="50"/>
      <c r="I133" s="50"/>
      <c r="J133" s="50"/>
    </row>
    <row r="134" spans="1:10" s="262" customFormat="1" x14ac:dyDescent="0.2">
      <c r="A134" s="256"/>
      <c r="B134" s="244"/>
      <c r="C134" s="252"/>
      <c r="D134" s="50"/>
      <c r="E134" s="261"/>
      <c r="H134" s="50"/>
      <c r="I134" s="50"/>
      <c r="J134" s="50"/>
    </row>
    <row r="135" spans="1:10" s="262" customFormat="1" x14ac:dyDescent="0.2">
      <c r="A135" s="256"/>
      <c r="B135" s="244"/>
      <c r="C135" s="252"/>
      <c r="D135" s="50"/>
      <c r="E135" s="261"/>
      <c r="H135" s="50"/>
      <c r="I135" s="50"/>
      <c r="J135" s="50"/>
    </row>
    <row r="136" spans="1:10" s="262" customFormat="1" x14ac:dyDescent="0.2">
      <c r="A136" s="256"/>
      <c r="B136" s="244"/>
      <c r="C136" s="252"/>
      <c r="D136" s="50"/>
      <c r="E136" s="261"/>
      <c r="H136" s="50"/>
      <c r="I136" s="50"/>
      <c r="J136" s="50"/>
    </row>
    <row r="137" spans="1:10" s="262" customFormat="1" x14ac:dyDescent="0.2">
      <c r="A137" s="256"/>
      <c r="B137" s="244"/>
      <c r="C137" s="252"/>
      <c r="D137" s="50"/>
      <c r="E137" s="261"/>
      <c r="H137" s="50"/>
      <c r="I137" s="50"/>
      <c r="J137" s="50"/>
    </row>
    <row r="138" spans="1:10" s="262" customFormat="1" x14ac:dyDescent="0.2">
      <c r="A138" s="256"/>
      <c r="B138" s="244"/>
      <c r="C138" s="252"/>
      <c r="D138" s="50"/>
      <c r="E138" s="261"/>
      <c r="H138" s="50"/>
      <c r="I138" s="50"/>
      <c r="J138" s="50"/>
    </row>
    <row r="139" spans="1:10" s="262" customFormat="1" x14ac:dyDescent="0.2">
      <c r="A139" s="256"/>
      <c r="B139" s="244"/>
      <c r="C139" s="252"/>
      <c r="D139" s="50"/>
      <c r="E139" s="261"/>
      <c r="H139" s="50"/>
      <c r="I139" s="50"/>
      <c r="J139" s="50"/>
    </row>
    <row r="140" spans="1:10" s="262" customFormat="1" x14ac:dyDescent="0.2">
      <c r="A140" s="256"/>
      <c r="B140" s="244"/>
      <c r="C140" s="252"/>
      <c r="D140" s="50"/>
      <c r="E140" s="261"/>
      <c r="H140" s="50"/>
      <c r="I140" s="50"/>
      <c r="J140" s="50"/>
    </row>
    <row r="141" spans="1:10" s="262" customFormat="1" x14ac:dyDescent="0.2">
      <c r="A141" s="256"/>
      <c r="B141" s="244"/>
      <c r="C141" s="252"/>
      <c r="D141" s="50"/>
      <c r="E141" s="261"/>
      <c r="H141" s="50"/>
      <c r="I141" s="50"/>
      <c r="J141" s="50"/>
    </row>
    <row r="142" spans="1:10" s="262" customFormat="1" x14ac:dyDescent="0.2">
      <c r="A142" s="256"/>
      <c r="B142" s="244"/>
      <c r="C142" s="252"/>
      <c r="D142" s="50"/>
      <c r="E142" s="261"/>
      <c r="H142" s="50"/>
      <c r="I142" s="50"/>
      <c r="J142" s="50"/>
    </row>
    <row r="143" spans="1:10" s="262" customFormat="1" x14ac:dyDescent="0.2">
      <c r="A143" s="256"/>
      <c r="B143" s="244"/>
      <c r="C143" s="252"/>
      <c r="D143" s="50"/>
      <c r="E143" s="261"/>
      <c r="H143" s="50"/>
      <c r="I143" s="50"/>
      <c r="J143" s="50"/>
    </row>
    <row r="144" spans="1:10" s="262" customFormat="1" x14ac:dyDescent="0.2">
      <c r="A144" s="256"/>
      <c r="B144" s="244"/>
      <c r="C144" s="252"/>
      <c r="D144" s="50"/>
      <c r="E144" s="261"/>
      <c r="H144" s="50"/>
      <c r="I144" s="50"/>
      <c r="J144" s="50"/>
    </row>
    <row r="145" spans="1:10" s="262" customFormat="1" x14ac:dyDescent="0.2">
      <c r="A145" s="256"/>
      <c r="B145" s="244"/>
      <c r="C145" s="252"/>
      <c r="D145" s="50"/>
      <c r="E145" s="261"/>
      <c r="H145" s="50"/>
      <c r="I145" s="50"/>
      <c r="J145" s="50"/>
    </row>
    <row r="146" spans="1:10" s="262" customFormat="1" x14ac:dyDescent="0.2">
      <c r="A146" s="256"/>
      <c r="B146" s="244"/>
      <c r="C146" s="252"/>
      <c r="D146" s="50"/>
      <c r="E146" s="261"/>
      <c r="H146" s="50"/>
      <c r="I146" s="50"/>
      <c r="J146" s="50"/>
    </row>
    <row r="147" spans="1:10" s="262" customFormat="1" x14ac:dyDescent="0.2">
      <c r="A147" s="256"/>
      <c r="B147" s="244"/>
      <c r="C147" s="252"/>
      <c r="D147" s="50"/>
      <c r="E147" s="261"/>
      <c r="H147" s="50"/>
      <c r="I147" s="50"/>
      <c r="J147" s="50"/>
    </row>
    <row r="148" spans="1:10" s="262" customFormat="1" x14ac:dyDescent="0.2">
      <c r="A148" s="256"/>
      <c r="B148" s="244"/>
      <c r="C148" s="252"/>
      <c r="D148" s="50"/>
      <c r="E148" s="261"/>
      <c r="H148" s="50"/>
      <c r="I148" s="50"/>
      <c r="J148" s="50"/>
    </row>
    <row r="149" spans="1:10" s="262" customFormat="1" x14ac:dyDescent="0.2">
      <c r="A149" s="256"/>
      <c r="B149" s="244"/>
      <c r="C149" s="252"/>
      <c r="D149" s="50"/>
      <c r="E149" s="261"/>
      <c r="H149" s="50"/>
      <c r="I149" s="50"/>
      <c r="J149" s="50"/>
    </row>
    <row r="150" spans="1:10" s="262" customFormat="1" x14ac:dyDescent="0.2">
      <c r="A150" s="256"/>
      <c r="B150" s="244"/>
      <c r="C150" s="252"/>
      <c r="D150" s="50"/>
      <c r="E150" s="261"/>
      <c r="H150" s="50"/>
      <c r="I150" s="50"/>
      <c r="J150" s="50"/>
    </row>
    <row r="151" spans="1:10" s="262" customFormat="1" x14ac:dyDescent="0.2">
      <c r="A151" s="256"/>
      <c r="B151" s="244"/>
      <c r="C151" s="252"/>
      <c r="D151" s="50"/>
      <c r="E151" s="261"/>
      <c r="H151" s="50"/>
      <c r="I151" s="50"/>
      <c r="J151" s="50"/>
    </row>
    <row r="152" spans="1:10" s="262" customFormat="1" x14ac:dyDescent="0.2">
      <c r="A152" s="256"/>
      <c r="B152" s="244"/>
      <c r="C152" s="252"/>
      <c r="D152" s="50"/>
      <c r="E152" s="261"/>
      <c r="H152" s="50"/>
      <c r="I152" s="50"/>
      <c r="J152" s="50"/>
    </row>
    <row r="153" spans="1:10" s="262" customFormat="1" x14ac:dyDescent="0.2">
      <c r="A153" s="256"/>
      <c r="B153" s="244"/>
      <c r="C153" s="252"/>
      <c r="D153" s="50"/>
      <c r="E153" s="261"/>
      <c r="H153" s="50"/>
      <c r="I153" s="50"/>
      <c r="J153" s="50"/>
    </row>
    <row r="154" spans="1:10" s="262" customFormat="1" x14ac:dyDescent="0.2">
      <c r="A154" s="256"/>
      <c r="B154" s="244"/>
      <c r="C154" s="252"/>
      <c r="D154" s="50"/>
      <c r="E154" s="261"/>
      <c r="H154" s="50"/>
      <c r="I154" s="50"/>
      <c r="J154" s="50"/>
    </row>
    <row r="155" spans="1:10" s="262" customFormat="1" x14ac:dyDescent="0.2">
      <c r="A155" s="256"/>
      <c r="B155" s="244"/>
      <c r="C155" s="252"/>
      <c r="D155" s="50"/>
      <c r="E155" s="261"/>
      <c r="H155" s="50"/>
      <c r="I155" s="50"/>
      <c r="J155" s="50"/>
    </row>
    <row r="156" spans="1:10" s="262" customFormat="1" x14ac:dyDescent="0.2">
      <c r="A156" s="256"/>
      <c r="B156" s="244"/>
      <c r="C156" s="252"/>
      <c r="D156" s="50"/>
      <c r="E156" s="261"/>
      <c r="H156" s="50"/>
      <c r="I156" s="50"/>
      <c r="J156" s="50"/>
    </row>
    <row r="157" spans="1:10" s="262" customFormat="1" x14ac:dyDescent="0.2">
      <c r="A157" s="256"/>
      <c r="B157" s="244"/>
      <c r="C157" s="252"/>
      <c r="D157" s="50"/>
      <c r="E157" s="261"/>
      <c r="H157" s="50"/>
      <c r="I157" s="50"/>
      <c r="J157" s="50"/>
    </row>
    <row r="158" spans="1:10" s="262" customFormat="1" x14ac:dyDescent="0.2">
      <c r="A158" s="256"/>
      <c r="B158" s="244"/>
      <c r="C158" s="252"/>
      <c r="D158" s="50"/>
      <c r="E158" s="261"/>
      <c r="H158" s="50"/>
      <c r="I158" s="50"/>
      <c r="J158" s="50"/>
    </row>
    <row r="159" spans="1:10" s="262" customFormat="1" x14ac:dyDescent="0.2">
      <c r="A159" s="256"/>
      <c r="B159" s="244"/>
      <c r="C159" s="252"/>
      <c r="D159" s="50"/>
      <c r="E159" s="261"/>
      <c r="H159" s="50"/>
      <c r="I159" s="50"/>
      <c r="J159" s="50"/>
    </row>
    <row r="160" spans="1:10" s="262" customFormat="1" x14ac:dyDescent="0.2">
      <c r="A160" s="256"/>
      <c r="B160" s="244"/>
      <c r="C160" s="252"/>
      <c r="D160" s="50"/>
      <c r="E160" s="261"/>
      <c r="H160" s="50"/>
      <c r="I160" s="50"/>
      <c r="J160" s="50"/>
    </row>
    <row r="161" spans="1:10" s="262" customFormat="1" x14ac:dyDescent="0.2">
      <c r="A161" s="256"/>
      <c r="B161" s="244"/>
      <c r="C161" s="252"/>
      <c r="D161" s="50"/>
      <c r="E161" s="261"/>
      <c r="H161" s="50"/>
      <c r="I161" s="50"/>
      <c r="J161" s="50"/>
    </row>
    <row r="162" spans="1:10" s="262" customFormat="1" x14ac:dyDescent="0.2">
      <c r="A162" s="256"/>
      <c r="B162" s="244"/>
      <c r="C162" s="252"/>
      <c r="D162" s="50"/>
      <c r="E162" s="261"/>
      <c r="H162" s="50"/>
      <c r="I162" s="50"/>
      <c r="J162" s="50"/>
    </row>
    <row r="163" spans="1:10" s="262" customFormat="1" x14ac:dyDescent="0.2">
      <c r="A163" s="256"/>
      <c r="B163" s="244"/>
      <c r="C163" s="252"/>
      <c r="D163" s="50"/>
      <c r="E163" s="261"/>
      <c r="H163" s="50"/>
      <c r="I163" s="50"/>
      <c r="J163" s="50"/>
    </row>
    <row r="164" spans="1:10" s="262" customFormat="1" x14ac:dyDescent="0.2">
      <c r="A164" s="256"/>
      <c r="B164" s="244"/>
      <c r="C164" s="252"/>
      <c r="D164" s="50"/>
      <c r="E164" s="261"/>
      <c r="H164" s="50"/>
      <c r="I164" s="50"/>
      <c r="J164" s="50"/>
    </row>
    <row r="165" spans="1:10" s="262" customFormat="1" x14ac:dyDescent="0.2">
      <c r="A165" s="256"/>
      <c r="B165" s="244"/>
      <c r="C165" s="252"/>
      <c r="D165" s="50"/>
      <c r="E165" s="261"/>
      <c r="H165" s="50"/>
      <c r="I165" s="50"/>
      <c r="J165" s="50"/>
    </row>
    <row r="166" spans="1:10" s="262" customFormat="1" x14ac:dyDescent="0.2">
      <c r="A166" s="256"/>
      <c r="B166" s="244"/>
      <c r="C166" s="252"/>
      <c r="D166" s="50"/>
      <c r="E166" s="261"/>
      <c r="H166" s="50"/>
      <c r="I166" s="50"/>
      <c r="J166" s="50"/>
    </row>
    <row r="167" spans="1:10" s="262" customFormat="1" x14ac:dyDescent="0.2">
      <c r="A167" s="256"/>
      <c r="B167" s="244"/>
      <c r="C167" s="252"/>
      <c r="D167" s="50"/>
      <c r="E167" s="261"/>
      <c r="H167" s="50"/>
      <c r="I167" s="50"/>
      <c r="J167" s="50"/>
    </row>
    <row r="168" spans="1:10" s="262" customFormat="1" x14ac:dyDescent="0.2">
      <c r="A168" s="256"/>
      <c r="B168" s="244"/>
      <c r="C168" s="252"/>
      <c r="D168" s="50"/>
      <c r="E168" s="261"/>
      <c r="H168" s="50"/>
      <c r="I168" s="50"/>
      <c r="J168" s="50"/>
    </row>
    <row r="169" spans="1:10" s="262" customFormat="1" x14ac:dyDescent="0.2">
      <c r="A169" s="256"/>
      <c r="B169" s="244"/>
      <c r="C169" s="252"/>
      <c r="D169" s="50"/>
      <c r="E169" s="261"/>
      <c r="H169" s="50"/>
      <c r="I169" s="50"/>
      <c r="J169" s="50"/>
    </row>
    <row r="170" spans="1:10" s="262" customFormat="1" x14ac:dyDescent="0.2">
      <c r="A170" s="256"/>
      <c r="B170" s="244"/>
      <c r="C170" s="252"/>
      <c r="D170" s="50"/>
      <c r="E170" s="261"/>
      <c r="H170" s="50"/>
      <c r="I170" s="50"/>
      <c r="J170" s="50"/>
    </row>
    <row r="171" spans="1:10" s="262" customFormat="1" x14ac:dyDescent="0.2">
      <c r="A171" s="256"/>
      <c r="B171" s="244"/>
      <c r="C171" s="252"/>
      <c r="D171" s="50"/>
      <c r="E171" s="261"/>
      <c r="H171" s="50"/>
      <c r="I171" s="50"/>
      <c r="J171" s="50"/>
    </row>
    <row r="172" spans="1:10" s="262" customFormat="1" x14ac:dyDescent="0.2">
      <c r="A172" s="256"/>
      <c r="B172" s="244"/>
      <c r="C172" s="252"/>
      <c r="D172" s="50"/>
      <c r="E172" s="261"/>
      <c r="H172" s="50"/>
      <c r="I172" s="50"/>
      <c r="J172" s="50"/>
    </row>
    <row r="173" spans="1:10" s="262" customFormat="1" x14ac:dyDescent="0.2">
      <c r="A173" s="256"/>
      <c r="B173" s="244"/>
      <c r="C173" s="252"/>
      <c r="D173" s="50"/>
      <c r="E173" s="261"/>
      <c r="H173" s="50"/>
      <c r="I173" s="50"/>
      <c r="J173" s="50"/>
    </row>
    <row r="174" spans="1:10" s="262" customFormat="1" x14ac:dyDescent="0.2">
      <c r="A174" s="256"/>
      <c r="B174" s="244"/>
      <c r="C174" s="252"/>
      <c r="D174" s="50"/>
      <c r="E174" s="261"/>
      <c r="H174" s="50"/>
      <c r="I174" s="50"/>
      <c r="J174" s="50"/>
    </row>
    <row r="175" spans="1:10" s="262" customFormat="1" x14ac:dyDescent="0.2">
      <c r="A175" s="256"/>
      <c r="B175" s="244"/>
      <c r="C175" s="252"/>
      <c r="D175" s="50"/>
      <c r="E175" s="261"/>
      <c r="H175" s="50"/>
      <c r="I175" s="50"/>
      <c r="J175" s="50"/>
    </row>
    <row r="176" spans="1:10" s="262" customFormat="1" x14ac:dyDescent="0.2">
      <c r="A176" s="256"/>
      <c r="B176" s="244"/>
      <c r="C176" s="252"/>
      <c r="D176" s="50"/>
      <c r="E176" s="261"/>
      <c r="H176" s="50"/>
      <c r="I176" s="50"/>
      <c r="J176" s="50"/>
    </row>
    <row r="177" spans="1:10" s="262" customFormat="1" x14ac:dyDescent="0.2">
      <c r="A177" s="256"/>
      <c r="B177" s="244"/>
      <c r="C177" s="252"/>
      <c r="D177" s="50"/>
      <c r="E177" s="261"/>
      <c r="H177" s="50"/>
      <c r="I177" s="50"/>
      <c r="J177" s="50"/>
    </row>
    <row r="178" spans="1:10" s="262" customFormat="1" x14ac:dyDescent="0.2">
      <c r="A178" s="256"/>
      <c r="B178" s="244"/>
      <c r="C178" s="252"/>
      <c r="D178" s="50"/>
      <c r="E178" s="261"/>
      <c r="H178" s="50"/>
      <c r="I178" s="50"/>
      <c r="J178" s="50"/>
    </row>
    <row r="179" spans="1:10" s="262" customFormat="1" x14ac:dyDescent="0.2">
      <c r="A179" s="256"/>
      <c r="B179" s="244"/>
      <c r="C179" s="252"/>
      <c r="D179" s="50"/>
      <c r="E179" s="261"/>
      <c r="H179" s="50"/>
      <c r="I179" s="50"/>
      <c r="J179" s="50"/>
    </row>
    <row r="180" spans="1:10" s="262" customFormat="1" x14ac:dyDescent="0.2">
      <c r="A180" s="256"/>
      <c r="B180" s="244"/>
      <c r="C180" s="252"/>
      <c r="D180" s="50"/>
      <c r="E180" s="261"/>
      <c r="H180" s="50"/>
      <c r="I180" s="50"/>
      <c r="J180" s="50"/>
    </row>
    <row r="181" spans="1:10" s="262" customFormat="1" x14ac:dyDescent="0.2">
      <c r="A181" s="256"/>
      <c r="B181" s="244"/>
      <c r="C181" s="252"/>
      <c r="D181" s="50"/>
      <c r="E181" s="261"/>
      <c r="H181" s="50"/>
      <c r="I181" s="50"/>
      <c r="J181" s="50"/>
    </row>
    <row r="182" spans="1:10" s="262" customFormat="1" x14ac:dyDescent="0.2">
      <c r="A182" s="256"/>
      <c r="B182" s="244"/>
      <c r="C182" s="252"/>
      <c r="D182" s="50"/>
      <c r="E182" s="261"/>
      <c r="H182" s="50"/>
      <c r="I182" s="50"/>
      <c r="J182" s="50"/>
    </row>
    <row r="183" spans="1:10" s="262" customFormat="1" x14ac:dyDescent="0.2">
      <c r="A183" s="256"/>
      <c r="B183" s="244"/>
      <c r="C183" s="252"/>
      <c r="D183" s="50"/>
      <c r="E183" s="261"/>
      <c r="H183" s="50"/>
      <c r="I183" s="50"/>
      <c r="J183" s="50"/>
    </row>
    <row r="184" spans="1:10" s="262" customFormat="1" x14ac:dyDescent="0.2">
      <c r="A184" s="256"/>
      <c r="B184" s="244"/>
      <c r="C184" s="252"/>
      <c r="D184" s="50"/>
      <c r="E184" s="261"/>
      <c r="H184" s="50"/>
      <c r="I184" s="50"/>
      <c r="J184" s="50"/>
    </row>
    <row r="185" spans="1:10" s="262" customFormat="1" x14ac:dyDescent="0.2">
      <c r="A185" s="256"/>
      <c r="B185" s="244"/>
      <c r="C185" s="252"/>
      <c r="D185" s="50"/>
      <c r="E185" s="261"/>
      <c r="H185" s="50"/>
      <c r="I185" s="50"/>
      <c r="J185" s="50"/>
    </row>
    <row r="186" spans="1:10" s="262" customFormat="1" x14ac:dyDescent="0.2">
      <c r="A186" s="256"/>
      <c r="B186" s="244"/>
      <c r="C186" s="252"/>
      <c r="D186" s="50"/>
      <c r="E186" s="261"/>
      <c r="H186" s="50"/>
      <c r="I186" s="50"/>
      <c r="J186" s="50"/>
    </row>
    <row r="187" spans="1:10" s="262" customFormat="1" x14ac:dyDescent="0.2">
      <c r="A187" s="256"/>
      <c r="B187" s="244"/>
      <c r="C187" s="252"/>
      <c r="D187" s="50"/>
      <c r="E187" s="261"/>
      <c r="H187" s="50"/>
      <c r="I187" s="50"/>
      <c r="J187" s="50"/>
    </row>
    <row r="188" spans="1:10" s="262" customFormat="1" x14ac:dyDescent="0.2">
      <c r="A188" s="256"/>
      <c r="B188" s="244"/>
      <c r="C188" s="252"/>
      <c r="D188" s="50"/>
      <c r="E188" s="261"/>
      <c r="H188" s="50"/>
      <c r="I188" s="50"/>
      <c r="J188" s="50"/>
    </row>
    <row r="189" spans="1:10" s="262" customFormat="1" x14ac:dyDescent="0.2">
      <c r="A189" s="256"/>
      <c r="B189" s="244"/>
      <c r="C189" s="252"/>
      <c r="D189" s="50"/>
      <c r="E189" s="261"/>
      <c r="H189" s="50"/>
      <c r="I189" s="50"/>
      <c r="J189" s="50"/>
    </row>
    <row r="190" spans="1:10" s="262" customFormat="1" x14ac:dyDescent="0.2">
      <c r="A190" s="256"/>
      <c r="B190" s="244"/>
      <c r="C190" s="252"/>
      <c r="D190" s="50"/>
      <c r="E190" s="261"/>
      <c r="H190" s="50"/>
      <c r="I190" s="50"/>
      <c r="J190" s="50"/>
    </row>
    <row r="191" spans="1:10" s="262" customFormat="1" x14ac:dyDescent="0.2">
      <c r="A191" s="256"/>
      <c r="B191" s="244"/>
      <c r="C191" s="252"/>
      <c r="D191" s="50"/>
      <c r="E191" s="261"/>
      <c r="H191" s="50"/>
      <c r="I191" s="50"/>
      <c r="J191" s="50"/>
    </row>
    <row r="192" spans="1:10" s="262" customFormat="1" x14ac:dyDescent="0.2">
      <c r="A192" s="256"/>
      <c r="B192" s="244"/>
      <c r="C192" s="252"/>
      <c r="D192" s="50"/>
      <c r="E192" s="261"/>
      <c r="H192" s="50"/>
      <c r="I192" s="50"/>
      <c r="J192" s="50"/>
    </row>
    <row r="193" spans="1:10" s="262" customFormat="1" x14ac:dyDescent="0.2">
      <c r="A193" s="256"/>
      <c r="B193" s="244"/>
      <c r="C193" s="252"/>
      <c r="D193" s="50"/>
      <c r="E193" s="261"/>
      <c r="H193" s="50"/>
      <c r="I193" s="50"/>
      <c r="J193" s="50"/>
    </row>
    <row r="194" spans="1:10" s="262" customFormat="1" x14ac:dyDescent="0.2">
      <c r="A194" s="256"/>
      <c r="B194" s="244"/>
      <c r="C194" s="252"/>
      <c r="D194" s="50"/>
      <c r="E194" s="261"/>
      <c r="H194" s="50"/>
      <c r="I194" s="50"/>
      <c r="J194" s="50"/>
    </row>
    <row r="195" spans="1:10" s="262" customFormat="1" x14ac:dyDescent="0.2">
      <c r="A195" s="256"/>
      <c r="B195" s="244"/>
      <c r="C195" s="252"/>
      <c r="D195" s="50"/>
      <c r="E195" s="261"/>
      <c r="H195" s="50"/>
      <c r="I195" s="50"/>
      <c r="J195" s="50"/>
    </row>
    <row r="196" spans="1:10" s="262" customFormat="1" x14ac:dyDescent="0.2">
      <c r="A196" s="256"/>
      <c r="B196" s="244"/>
      <c r="C196" s="252"/>
      <c r="D196" s="50"/>
      <c r="E196" s="261"/>
      <c r="H196" s="50"/>
      <c r="I196" s="50"/>
      <c r="J196" s="50"/>
    </row>
    <row r="197" spans="1:10" s="262" customFormat="1" x14ac:dyDescent="0.2">
      <c r="A197" s="256"/>
      <c r="B197" s="244"/>
      <c r="C197" s="252"/>
      <c r="D197" s="50"/>
      <c r="E197" s="261"/>
      <c r="H197" s="50"/>
      <c r="I197" s="50"/>
      <c r="J197" s="50"/>
    </row>
    <row r="198" spans="1:10" s="262" customFormat="1" x14ac:dyDescent="0.2">
      <c r="A198" s="256"/>
      <c r="B198" s="244"/>
      <c r="C198" s="252"/>
      <c r="D198" s="50"/>
      <c r="E198" s="261"/>
      <c r="H198" s="50"/>
      <c r="I198" s="50"/>
      <c r="J198" s="50"/>
    </row>
    <row r="199" spans="1:10" s="262" customFormat="1" x14ac:dyDescent="0.2">
      <c r="A199" s="256"/>
      <c r="B199" s="244"/>
      <c r="C199" s="252"/>
      <c r="D199" s="50"/>
      <c r="E199" s="261"/>
      <c r="H199" s="50"/>
      <c r="I199" s="50"/>
      <c r="J199" s="50"/>
    </row>
    <row r="200" spans="1:10" s="262" customFormat="1" x14ac:dyDescent="0.2">
      <c r="A200" s="256"/>
      <c r="B200" s="244"/>
      <c r="C200" s="252"/>
      <c r="D200" s="50"/>
      <c r="E200" s="261"/>
      <c r="H200" s="50"/>
      <c r="I200" s="50"/>
      <c r="J200" s="50"/>
    </row>
    <row r="201" spans="1:10" s="262" customFormat="1" x14ac:dyDescent="0.2">
      <c r="A201" s="256"/>
      <c r="B201" s="244"/>
      <c r="C201" s="252"/>
      <c r="D201" s="50"/>
      <c r="E201" s="261"/>
      <c r="H201" s="50"/>
      <c r="I201" s="50"/>
      <c r="J201" s="50"/>
    </row>
    <row r="202" spans="1:10" s="262" customFormat="1" x14ac:dyDescent="0.2">
      <c r="A202" s="256"/>
      <c r="B202" s="244"/>
      <c r="C202" s="252"/>
      <c r="D202" s="50"/>
      <c r="E202" s="261"/>
      <c r="H202" s="50"/>
      <c r="I202" s="50"/>
      <c r="J202" s="50"/>
    </row>
    <row r="203" spans="1:10" s="262" customFormat="1" x14ac:dyDescent="0.2">
      <c r="A203" s="256"/>
      <c r="B203" s="244"/>
      <c r="C203" s="252"/>
      <c r="D203" s="50"/>
      <c r="E203" s="261"/>
      <c r="H203" s="50"/>
      <c r="I203" s="50"/>
      <c r="J203" s="50"/>
    </row>
    <row r="204" spans="1:10" s="262" customFormat="1" x14ac:dyDescent="0.2">
      <c r="A204" s="256"/>
      <c r="B204" s="244"/>
      <c r="C204" s="252"/>
      <c r="D204" s="50"/>
      <c r="E204" s="261"/>
      <c r="H204" s="50"/>
      <c r="I204" s="50"/>
      <c r="J204" s="50"/>
    </row>
    <row r="205" spans="1:10" s="262" customFormat="1" x14ac:dyDescent="0.2">
      <c r="A205" s="256"/>
      <c r="B205" s="244"/>
      <c r="C205" s="252"/>
      <c r="D205" s="50"/>
      <c r="E205" s="261"/>
      <c r="H205" s="50"/>
      <c r="I205" s="50"/>
      <c r="J205" s="50"/>
    </row>
    <row r="206" spans="1:10" s="262" customFormat="1" x14ac:dyDescent="0.2">
      <c r="A206" s="256"/>
      <c r="B206" s="244"/>
      <c r="C206" s="252"/>
      <c r="D206" s="50"/>
      <c r="E206" s="261"/>
      <c r="H206" s="50"/>
      <c r="I206" s="50"/>
      <c r="J206" s="50"/>
    </row>
    <row r="207" spans="1:10" s="262" customFormat="1" x14ac:dyDescent="0.2">
      <c r="A207" s="256"/>
      <c r="B207" s="244"/>
      <c r="C207" s="252"/>
      <c r="D207" s="50"/>
      <c r="E207" s="261"/>
      <c r="H207" s="50"/>
      <c r="I207" s="50"/>
      <c r="J207" s="50"/>
    </row>
    <row r="208" spans="1:10" s="262" customFormat="1" x14ac:dyDescent="0.2">
      <c r="A208" s="256"/>
      <c r="B208" s="244"/>
      <c r="C208" s="252"/>
      <c r="D208" s="50"/>
      <c r="E208" s="261"/>
      <c r="H208" s="50"/>
      <c r="I208" s="50"/>
      <c r="J208" s="50"/>
    </row>
    <row r="209" spans="1:10" s="262" customFormat="1" x14ac:dyDescent="0.2">
      <c r="A209" s="256"/>
      <c r="B209" s="244"/>
      <c r="C209" s="252"/>
      <c r="D209" s="50"/>
      <c r="E209" s="261"/>
      <c r="H209" s="50"/>
      <c r="I209" s="50"/>
      <c r="J209" s="50"/>
    </row>
    <row r="210" spans="1:10" s="262" customFormat="1" x14ac:dyDescent="0.2">
      <c r="A210" s="256"/>
      <c r="B210" s="244"/>
      <c r="C210" s="252"/>
      <c r="D210" s="50"/>
      <c r="E210" s="261"/>
      <c r="H210" s="50"/>
      <c r="I210" s="50"/>
      <c r="J210" s="50"/>
    </row>
    <row r="211" spans="1:10" s="262" customFormat="1" x14ac:dyDescent="0.2">
      <c r="A211" s="256"/>
      <c r="B211" s="244"/>
      <c r="C211" s="252"/>
      <c r="D211" s="50"/>
      <c r="E211" s="261"/>
      <c r="H211" s="50"/>
      <c r="I211" s="50"/>
      <c r="J211" s="50"/>
    </row>
    <row r="212" spans="1:10" s="262" customFormat="1" x14ac:dyDescent="0.2">
      <c r="A212" s="256"/>
      <c r="B212" s="244"/>
      <c r="C212" s="252"/>
      <c r="D212" s="50"/>
      <c r="E212" s="261"/>
      <c r="H212" s="50"/>
      <c r="I212" s="50"/>
      <c r="J212" s="50"/>
    </row>
    <row r="213" spans="1:10" s="262" customFormat="1" x14ac:dyDescent="0.2">
      <c r="A213" s="256"/>
      <c r="B213" s="244"/>
      <c r="C213" s="252"/>
      <c r="D213" s="50"/>
      <c r="E213" s="261"/>
      <c r="H213" s="50"/>
      <c r="I213" s="50"/>
      <c r="J213" s="50"/>
    </row>
    <row r="214" spans="1:10" s="262" customFormat="1" x14ac:dyDescent="0.2">
      <c r="A214" s="256"/>
      <c r="B214" s="244"/>
      <c r="C214" s="252"/>
      <c r="D214" s="50"/>
      <c r="E214" s="261"/>
      <c r="H214" s="50"/>
      <c r="I214" s="50"/>
      <c r="J214" s="50"/>
    </row>
    <row r="215" spans="1:10" s="262" customFormat="1" x14ac:dyDescent="0.2">
      <c r="A215" s="256"/>
      <c r="B215" s="244"/>
      <c r="C215" s="252"/>
      <c r="D215" s="50"/>
      <c r="E215" s="261"/>
      <c r="H215" s="50"/>
      <c r="I215" s="50"/>
      <c r="J215" s="50"/>
    </row>
    <row r="216" spans="1:10" s="262" customFormat="1" x14ac:dyDescent="0.2">
      <c r="A216" s="256"/>
      <c r="B216" s="244"/>
      <c r="C216" s="252"/>
      <c r="D216" s="50"/>
      <c r="E216" s="261"/>
      <c r="H216" s="50"/>
      <c r="I216" s="50"/>
      <c r="J216" s="50"/>
    </row>
    <row r="217" spans="1:10" s="262" customFormat="1" x14ac:dyDescent="0.2">
      <c r="A217" s="256"/>
      <c r="B217" s="244"/>
      <c r="C217" s="252"/>
      <c r="D217" s="50"/>
      <c r="E217" s="261"/>
      <c r="H217" s="50"/>
      <c r="I217" s="50"/>
      <c r="J217" s="50"/>
    </row>
    <row r="218" spans="1:10" s="262" customFormat="1" x14ac:dyDescent="0.2">
      <c r="A218" s="256"/>
      <c r="B218" s="244"/>
      <c r="C218" s="252"/>
      <c r="D218" s="50"/>
      <c r="E218" s="261"/>
      <c r="H218" s="50"/>
      <c r="I218" s="50"/>
      <c r="J218" s="50"/>
    </row>
    <row r="219" spans="1:10" s="262" customFormat="1" x14ac:dyDescent="0.2">
      <c r="A219" s="256"/>
      <c r="B219" s="244"/>
      <c r="C219" s="252"/>
      <c r="D219" s="50"/>
      <c r="E219" s="261"/>
      <c r="H219" s="50"/>
      <c r="I219" s="50"/>
      <c r="J219" s="50"/>
    </row>
    <row r="220" spans="1:10" s="262" customFormat="1" x14ac:dyDescent="0.2">
      <c r="A220" s="256"/>
      <c r="B220" s="244"/>
      <c r="C220" s="252"/>
      <c r="D220" s="50"/>
      <c r="E220" s="261"/>
      <c r="H220" s="50"/>
      <c r="I220" s="50"/>
      <c r="J220" s="50"/>
    </row>
    <row r="221" spans="1:10" s="262" customFormat="1" x14ac:dyDescent="0.2">
      <c r="A221" s="256"/>
      <c r="B221" s="244"/>
      <c r="C221" s="252"/>
      <c r="D221" s="50"/>
      <c r="E221" s="261"/>
      <c r="H221" s="50"/>
      <c r="I221" s="50"/>
      <c r="J221" s="50"/>
    </row>
    <row r="222" spans="1:10" s="262" customFormat="1" x14ac:dyDescent="0.2">
      <c r="A222" s="256"/>
      <c r="B222" s="244"/>
      <c r="C222" s="252"/>
      <c r="D222" s="50"/>
      <c r="E222" s="261"/>
      <c r="H222" s="50"/>
      <c r="I222" s="50"/>
      <c r="J222" s="50"/>
    </row>
    <row r="223" spans="1:10" s="262" customFormat="1" x14ac:dyDescent="0.2">
      <c r="A223" s="256"/>
      <c r="B223" s="244"/>
      <c r="C223" s="252"/>
      <c r="D223" s="50"/>
      <c r="E223" s="261"/>
      <c r="H223" s="50"/>
      <c r="I223" s="50"/>
      <c r="J223" s="50"/>
    </row>
    <row r="224" spans="1:10" s="262" customFormat="1" x14ac:dyDescent="0.2">
      <c r="A224" s="256"/>
      <c r="B224" s="244"/>
      <c r="C224" s="252"/>
      <c r="D224" s="50"/>
      <c r="E224" s="261"/>
      <c r="H224" s="50"/>
      <c r="I224" s="50"/>
      <c r="J224" s="50"/>
    </row>
    <row r="225" spans="1:10" s="262" customFormat="1" x14ac:dyDescent="0.2">
      <c r="A225" s="256"/>
      <c r="B225" s="244"/>
      <c r="C225" s="252"/>
      <c r="D225" s="50"/>
      <c r="E225" s="261"/>
      <c r="H225" s="50"/>
      <c r="I225" s="50"/>
      <c r="J225" s="50"/>
    </row>
    <row r="226" spans="1:10" s="262" customFormat="1" x14ac:dyDescent="0.2">
      <c r="A226" s="256"/>
      <c r="B226" s="244"/>
      <c r="C226" s="252"/>
      <c r="D226" s="50"/>
      <c r="E226" s="261"/>
      <c r="H226" s="50"/>
      <c r="I226" s="50"/>
      <c r="J226" s="50"/>
    </row>
    <row r="227" spans="1:10" s="262" customFormat="1" x14ac:dyDescent="0.2">
      <c r="A227" s="256"/>
      <c r="B227" s="244"/>
      <c r="C227" s="252"/>
      <c r="D227" s="50"/>
      <c r="E227" s="261"/>
      <c r="H227" s="50"/>
      <c r="I227" s="50"/>
      <c r="J227" s="50"/>
    </row>
    <row r="228" spans="1:10" s="262" customFormat="1" x14ac:dyDescent="0.2">
      <c r="A228" s="256"/>
      <c r="B228" s="244"/>
      <c r="C228" s="252"/>
      <c r="D228" s="50"/>
      <c r="E228" s="261"/>
      <c r="H228" s="50"/>
      <c r="I228" s="50"/>
      <c r="J228" s="50"/>
    </row>
    <row r="229" spans="1:10" s="262" customFormat="1" x14ac:dyDescent="0.2">
      <c r="A229" s="256"/>
      <c r="B229" s="244"/>
      <c r="C229" s="252"/>
      <c r="D229" s="50"/>
      <c r="E229" s="261"/>
      <c r="H229" s="50"/>
      <c r="I229" s="50"/>
      <c r="J229" s="50"/>
    </row>
    <row r="230" spans="1:10" s="262" customFormat="1" x14ac:dyDescent="0.2">
      <c r="A230" s="256"/>
      <c r="B230" s="244"/>
      <c r="C230" s="252"/>
      <c r="D230" s="50"/>
      <c r="E230" s="261"/>
      <c r="H230" s="50"/>
      <c r="I230" s="50"/>
      <c r="J230" s="50"/>
    </row>
    <row r="231" spans="1:10" s="262" customFormat="1" x14ac:dyDescent="0.2">
      <c r="A231" s="256"/>
      <c r="B231" s="244"/>
      <c r="C231" s="252"/>
      <c r="D231" s="50"/>
      <c r="E231" s="261"/>
      <c r="H231" s="50"/>
      <c r="I231" s="50"/>
      <c r="J231" s="50"/>
    </row>
    <row r="232" spans="1:10" s="262" customFormat="1" x14ac:dyDescent="0.2">
      <c r="A232" s="256"/>
      <c r="B232" s="244"/>
      <c r="C232" s="252"/>
      <c r="D232" s="50"/>
      <c r="E232" s="261"/>
      <c r="H232" s="50"/>
      <c r="I232" s="50"/>
      <c r="J232" s="50"/>
    </row>
    <row r="233" spans="1:10" s="262" customFormat="1" x14ac:dyDescent="0.2">
      <c r="A233" s="256"/>
      <c r="B233" s="244"/>
      <c r="C233" s="252"/>
      <c r="D233" s="50"/>
      <c r="E233" s="261"/>
      <c r="H233" s="50"/>
      <c r="I233" s="50"/>
      <c r="J233" s="50"/>
    </row>
    <row r="234" spans="1:10" s="262" customFormat="1" x14ac:dyDescent="0.2">
      <c r="A234" s="256"/>
      <c r="B234" s="244"/>
      <c r="C234" s="252"/>
      <c r="D234" s="50"/>
      <c r="E234" s="261"/>
      <c r="H234" s="50"/>
      <c r="I234" s="50"/>
      <c r="J234" s="50"/>
    </row>
    <row r="235" spans="1:10" s="262" customFormat="1" x14ac:dyDescent="0.2">
      <c r="A235" s="256"/>
      <c r="B235" s="244"/>
      <c r="C235" s="252"/>
      <c r="D235" s="50"/>
      <c r="E235" s="261"/>
      <c r="H235" s="50"/>
      <c r="I235" s="50"/>
      <c r="J235" s="50"/>
    </row>
    <row r="236" spans="1:10" s="262" customFormat="1" x14ac:dyDescent="0.2">
      <c r="A236" s="256"/>
      <c r="B236" s="244"/>
      <c r="C236" s="252"/>
      <c r="D236" s="50"/>
      <c r="E236" s="261"/>
      <c r="H236" s="50"/>
      <c r="I236" s="50"/>
      <c r="J236" s="50"/>
    </row>
    <row r="237" spans="1:10" s="262" customFormat="1" x14ac:dyDescent="0.2">
      <c r="A237" s="256"/>
      <c r="B237" s="244"/>
      <c r="C237" s="252"/>
      <c r="D237" s="50"/>
      <c r="E237" s="261"/>
      <c r="H237" s="50"/>
      <c r="I237" s="50"/>
      <c r="J237" s="50"/>
    </row>
    <row r="238" spans="1:10" s="262" customFormat="1" x14ac:dyDescent="0.2">
      <c r="A238" s="256"/>
      <c r="B238" s="244"/>
      <c r="C238" s="252"/>
      <c r="D238" s="50"/>
      <c r="E238" s="261"/>
      <c r="H238" s="50"/>
      <c r="I238" s="50"/>
      <c r="J238" s="50"/>
    </row>
    <row r="239" spans="1:10" s="262" customFormat="1" x14ac:dyDescent="0.2">
      <c r="A239" s="256"/>
      <c r="B239" s="244"/>
      <c r="C239" s="252"/>
      <c r="D239" s="50"/>
      <c r="E239" s="261"/>
      <c r="H239" s="50"/>
      <c r="I239" s="50"/>
      <c r="J239" s="50"/>
    </row>
    <row r="240" spans="1:10" s="262" customFormat="1" x14ac:dyDescent="0.2">
      <c r="A240" s="256"/>
      <c r="B240" s="244"/>
      <c r="C240" s="252"/>
      <c r="D240" s="50"/>
      <c r="E240" s="261"/>
      <c r="H240" s="50"/>
      <c r="I240" s="50"/>
      <c r="J240" s="50"/>
    </row>
    <row r="241" spans="1:10" s="262" customFormat="1" x14ac:dyDescent="0.2">
      <c r="A241" s="256"/>
      <c r="B241" s="244"/>
      <c r="C241" s="252"/>
      <c r="D241" s="50"/>
      <c r="E241" s="261"/>
      <c r="H241" s="50"/>
      <c r="I241" s="50"/>
      <c r="J241" s="50"/>
    </row>
    <row r="242" spans="1:10" s="262" customFormat="1" x14ac:dyDescent="0.2">
      <c r="A242" s="256"/>
      <c r="B242" s="244"/>
      <c r="C242" s="252"/>
      <c r="D242" s="50"/>
      <c r="E242" s="261"/>
      <c r="H242" s="50"/>
      <c r="I242" s="50"/>
      <c r="J242" s="50"/>
    </row>
    <row r="243" spans="1:10" s="262" customFormat="1" x14ac:dyDescent="0.2">
      <c r="A243" s="256"/>
      <c r="B243" s="244"/>
      <c r="C243" s="252"/>
      <c r="D243" s="50"/>
      <c r="E243" s="261"/>
      <c r="H243" s="50"/>
      <c r="I243" s="50"/>
      <c r="J243" s="50"/>
    </row>
    <row r="244" spans="1:10" s="262" customFormat="1" x14ac:dyDescent="0.2">
      <c r="A244" s="256"/>
      <c r="B244" s="244"/>
      <c r="C244" s="252"/>
      <c r="D244" s="50"/>
      <c r="E244" s="261"/>
      <c r="H244" s="50"/>
      <c r="I244" s="50"/>
      <c r="J244" s="50"/>
    </row>
    <row r="245" spans="1:10" s="262" customFormat="1" x14ac:dyDescent="0.2">
      <c r="A245" s="256"/>
      <c r="B245" s="244"/>
      <c r="C245" s="252"/>
      <c r="D245" s="50"/>
      <c r="E245" s="261"/>
      <c r="H245" s="50"/>
      <c r="I245" s="50"/>
      <c r="J245" s="50"/>
    </row>
    <row r="246" spans="1:10" s="262" customFormat="1" x14ac:dyDescent="0.2">
      <c r="A246" s="256"/>
      <c r="B246" s="244"/>
      <c r="C246" s="252"/>
      <c r="D246" s="50"/>
      <c r="E246" s="261"/>
      <c r="H246" s="50"/>
      <c r="I246" s="50"/>
      <c r="J246" s="50"/>
    </row>
    <row r="247" spans="1:10" s="262" customFormat="1" x14ac:dyDescent="0.2">
      <c r="A247" s="256"/>
      <c r="B247" s="244"/>
      <c r="C247" s="252"/>
      <c r="D247" s="50"/>
      <c r="E247" s="261"/>
      <c r="H247" s="50"/>
      <c r="I247" s="50"/>
      <c r="J247" s="50"/>
    </row>
    <row r="248" spans="1:10" s="262" customFormat="1" x14ac:dyDescent="0.2">
      <c r="A248" s="256"/>
      <c r="B248" s="244"/>
      <c r="C248" s="252"/>
      <c r="D248" s="50"/>
      <c r="E248" s="261"/>
      <c r="H248" s="50"/>
      <c r="I248" s="50"/>
      <c r="J248" s="50"/>
    </row>
    <row r="249" spans="1:10" s="262" customFormat="1" x14ac:dyDescent="0.2">
      <c r="A249" s="256"/>
      <c r="B249" s="244"/>
      <c r="C249" s="252"/>
      <c r="D249" s="50"/>
      <c r="E249" s="261"/>
      <c r="H249" s="50"/>
      <c r="I249" s="50"/>
      <c r="J249" s="50"/>
    </row>
    <row r="250" spans="1:10" s="262" customFormat="1" x14ac:dyDescent="0.2">
      <c r="A250" s="256"/>
      <c r="B250" s="244"/>
      <c r="C250" s="252"/>
      <c r="D250" s="50"/>
      <c r="E250" s="261"/>
      <c r="H250" s="50"/>
      <c r="I250" s="50"/>
      <c r="J250" s="50"/>
    </row>
    <row r="251" spans="1:10" s="262" customFormat="1" x14ac:dyDescent="0.2">
      <c r="A251" s="256"/>
      <c r="B251" s="244"/>
      <c r="C251" s="252"/>
      <c r="D251" s="50"/>
      <c r="E251" s="261"/>
      <c r="H251" s="50"/>
      <c r="I251" s="50"/>
      <c r="J251" s="50"/>
    </row>
    <row r="252" spans="1:10" s="262" customFormat="1" x14ac:dyDescent="0.2">
      <c r="A252" s="256"/>
      <c r="B252" s="244"/>
      <c r="C252" s="252"/>
      <c r="D252" s="50"/>
      <c r="E252" s="261"/>
      <c r="H252" s="50"/>
      <c r="I252" s="50"/>
      <c r="J252" s="50"/>
    </row>
    <row r="253" spans="1:10" s="262" customFormat="1" x14ac:dyDescent="0.2">
      <c r="A253" s="256"/>
      <c r="B253" s="244"/>
      <c r="C253" s="252"/>
      <c r="D253" s="50"/>
      <c r="E253" s="261"/>
      <c r="H253" s="50"/>
      <c r="I253" s="50"/>
      <c r="J253" s="50"/>
    </row>
    <row r="254" spans="1:10" s="262" customFormat="1" x14ac:dyDescent="0.2">
      <c r="A254" s="256"/>
      <c r="B254" s="244"/>
      <c r="C254" s="252"/>
      <c r="D254" s="50"/>
      <c r="E254" s="261"/>
      <c r="H254" s="50"/>
      <c r="I254" s="50"/>
      <c r="J254" s="50"/>
    </row>
    <row r="255" spans="1:10" s="262" customFormat="1" x14ac:dyDescent="0.2">
      <c r="A255" s="256"/>
      <c r="B255" s="244"/>
      <c r="C255" s="252"/>
      <c r="D255" s="50"/>
      <c r="E255" s="261"/>
      <c r="H255" s="50"/>
      <c r="I255" s="50"/>
      <c r="J255" s="50"/>
    </row>
    <row r="256" spans="1:10" s="262" customFormat="1" x14ac:dyDescent="0.2">
      <c r="A256" s="256"/>
      <c r="B256" s="244"/>
      <c r="C256" s="252"/>
      <c r="D256" s="50"/>
      <c r="E256" s="261"/>
      <c r="H256" s="50"/>
      <c r="I256" s="50"/>
      <c r="J256" s="50"/>
    </row>
    <row r="257" spans="1:10" s="262" customFormat="1" x14ac:dyDescent="0.2">
      <c r="A257" s="256"/>
      <c r="B257" s="244"/>
      <c r="C257" s="252"/>
      <c r="D257" s="50"/>
      <c r="E257" s="261"/>
      <c r="H257" s="50"/>
      <c r="I257" s="50"/>
      <c r="J257" s="50"/>
    </row>
    <row r="258" spans="1:10" s="262" customFormat="1" x14ac:dyDescent="0.2">
      <c r="A258" s="256"/>
      <c r="B258" s="244"/>
      <c r="C258" s="252"/>
      <c r="D258" s="50"/>
      <c r="E258" s="261"/>
      <c r="H258" s="50"/>
      <c r="I258" s="50"/>
      <c r="J258" s="50"/>
    </row>
    <row r="259" spans="1:10" s="262" customFormat="1" x14ac:dyDescent="0.2">
      <c r="A259" s="256"/>
      <c r="B259" s="244"/>
      <c r="C259" s="252"/>
      <c r="D259" s="50"/>
      <c r="E259" s="261"/>
      <c r="H259" s="50"/>
      <c r="I259" s="50"/>
      <c r="J259" s="50"/>
    </row>
    <row r="260" spans="1:10" s="262" customFormat="1" x14ac:dyDescent="0.2">
      <c r="A260" s="256"/>
      <c r="B260" s="244"/>
      <c r="C260" s="252"/>
      <c r="D260" s="50"/>
      <c r="E260" s="261"/>
      <c r="H260" s="50"/>
      <c r="I260" s="50"/>
      <c r="J260" s="50"/>
    </row>
    <row r="261" spans="1:10" s="262" customFormat="1" x14ac:dyDescent="0.2">
      <c r="A261" s="256"/>
      <c r="B261" s="244"/>
      <c r="C261" s="252"/>
      <c r="D261" s="50"/>
      <c r="E261" s="261"/>
      <c r="H261" s="50"/>
      <c r="I261" s="50"/>
      <c r="J261" s="50"/>
    </row>
    <row r="262" spans="1:10" s="262" customFormat="1" x14ac:dyDescent="0.2">
      <c r="A262" s="256"/>
      <c r="B262" s="244"/>
      <c r="C262" s="252"/>
      <c r="D262" s="50"/>
      <c r="E262" s="261"/>
      <c r="H262" s="50"/>
      <c r="I262" s="50"/>
      <c r="J262" s="50"/>
    </row>
    <row r="263" spans="1:10" s="262" customFormat="1" x14ac:dyDescent="0.2">
      <c r="A263" s="256"/>
      <c r="B263" s="244"/>
      <c r="C263" s="252"/>
      <c r="D263" s="50"/>
      <c r="E263" s="261"/>
      <c r="H263" s="50"/>
      <c r="I263" s="50"/>
      <c r="J263" s="50"/>
    </row>
    <row r="264" spans="1:10" s="262" customFormat="1" x14ac:dyDescent="0.2">
      <c r="A264" s="256"/>
      <c r="B264" s="244"/>
      <c r="C264" s="252"/>
      <c r="D264" s="50"/>
      <c r="E264" s="261"/>
      <c r="H264" s="50"/>
      <c r="I264" s="50"/>
      <c r="J264" s="50"/>
    </row>
    <row r="265" spans="1:10" s="262" customFormat="1" x14ac:dyDescent="0.2">
      <c r="A265" s="256"/>
      <c r="B265" s="244"/>
      <c r="C265" s="252"/>
      <c r="D265" s="50"/>
      <c r="E265" s="261"/>
      <c r="H265" s="50"/>
      <c r="I265" s="50"/>
      <c r="J265" s="50"/>
    </row>
    <row r="266" spans="1:10" s="262" customFormat="1" x14ac:dyDescent="0.2">
      <c r="A266" s="256"/>
      <c r="B266" s="244"/>
      <c r="C266" s="252"/>
      <c r="D266" s="50"/>
      <c r="E266" s="261"/>
      <c r="H266" s="50"/>
      <c r="I266" s="50"/>
      <c r="J266" s="50"/>
    </row>
    <row r="267" spans="1:10" s="262" customFormat="1" x14ac:dyDescent="0.2">
      <c r="A267" s="256"/>
      <c r="B267" s="244"/>
      <c r="C267" s="252"/>
      <c r="D267" s="50"/>
      <c r="E267" s="261"/>
      <c r="H267" s="50"/>
      <c r="I267" s="50"/>
      <c r="J267" s="50"/>
    </row>
    <row r="268" spans="1:10" s="262" customFormat="1" x14ac:dyDescent="0.2">
      <c r="A268" s="256"/>
      <c r="B268" s="244"/>
      <c r="C268" s="252"/>
      <c r="D268" s="50"/>
      <c r="E268" s="261"/>
      <c r="H268" s="50"/>
      <c r="I268" s="50"/>
      <c r="J268" s="50"/>
    </row>
    <row r="269" spans="1:10" s="262" customFormat="1" x14ac:dyDescent="0.2">
      <c r="A269" s="256"/>
      <c r="B269" s="244"/>
      <c r="C269" s="252"/>
      <c r="D269" s="50"/>
      <c r="E269" s="261"/>
      <c r="H269" s="50"/>
      <c r="I269" s="50"/>
      <c r="J269" s="50"/>
    </row>
    <row r="270" spans="1:10" s="262" customFormat="1" x14ac:dyDescent="0.2">
      <c r="A270" s="256"/>
      <c r="B270" s="244"/>
      <c r="C270" s="252"/>
      <c r="D270" s="50"/>
      <c r="E270" s="261"/>
      <c r="H270" s="50"/>
      <c r="I270" s="50"/>
      <c r="J270" s="50"/>
    </row>
    <row r="271" spans="1:10" s="262" customFormat="1" x14ac:dyDescent="0.2">
      <c r="A271" s="256"/>
      <c r="B271" s="244"/>
      <c r="C271" s="252"/>
      <c r="D271" s="50"/>
      <c r="E271" s="261"/>
      <c r="H271" s="50"/>
      <c r="I271" s="50"/>
      <c r="J271" s="50"/>
    </row>
    <row r="272" spans="1:10" s="262" customFormat="1" x14ac:dyDescent="0.2">
      <c r="A272" s="256"/>
      <c r="B272" s="244"/>
      <c r="C272" s="252"/>
      <c r="D272" s="50"/>
      <c r="E272" s="261"/>
      <c r="H272" s="50"/>
      <c r="I272" s="50"/>
      <c r="J272" s="50"/>
    </row>
    <row r="273" spans="1:10" s="262" customFormat="1" x14ac:dyDescent="0.2">
      <c r="A273" s="256"/>
      <c r="B273" s="244"/>
      <c r="C273" s="252"/>
      <c r="D273" s="50"/>
      <c r="E273" s="261"/>
      <c r="H273" s="50"/>
      <c r="I273" s="50"/>
      <c r="J273" s="50"/>
    </row>
    <row r="274" spans="1:10" s="262" customFormat="1" x14ac:dyDescent="0.2">
      <c r="A274" s="256"/>
      <c r="B274" s="244"/>
      <c r="C274" s="252"/>
      <c r="D274" s="50"/>
      <c r="E274" s="261"/>
      <c r="H274" s="50"/>
      <c r="I274" s="50"/>
      <c r="J274" s="50"/>
    </row>
    <row r="275" spans="1:10" s="262" customFormat="1" x14ac:dyDescent="0.2">
      <c r="A275" s="256"/>
      <c r="B275" s="244"/>
      <c r="C275" s="252"/>
      <c r="D275" s="50"/>
      <c r="E275" s="261"/>
      <c r="H275" s="50"/>
      <c r="I275" s="50"/>
      <c r="J275" s="50"/>
    </row>
    <row r="276" spans="1:10" s="262" customFormat="1" x14ac:dyDescent="0.2">
      <c r="A276" s="256"/>
      <c r="B276" s="244"/>
      <c r="C276" s="252"/>
      <c r="D276" s="50"/>
      <c r="E276" s="261"/>
      <c r="H276" s="50"/>
      <c r="I276" s="50"/>
      <c r="J276" s="50"/>
    </row>
    <row r="277" spans="1:10" s="262" customFormat="1" x14ac:dyDescent="0.2">
      <c r="A277" s="256"/>
      <c r="B277" s="244"/>
      <c r="C277" s="252"/>
      <c r="D277" s="50"/>
      <c r="E277" s="261"/>
      <c r="H277" s="50"/>
      <c r="I277" s="50"/>
      <c r="J277" s="50"/>
    </row>
    <row r="278" spans="1:10" s="262" customFormat="1" x14ac:dyDescent="0.2">
      <c r="A278" s="256"/>
      <c r="B278" s="244"/>
      <c r="C278" s="252"/>
      <c r="D278" s="50"/>
      <c r="E278" s="261"/>
      <c r="H278" s="50"/>
      <c r="I278" s="50"/>
      <c r="J278" s="50"/>
    </row>
    <row r="279" spans="1:10" s="262" customFormat="1" x14ac:dyDescent="0.2">
      <c r="A279" s="256"/>
      <c r="B279" s="244"/>
      <c r="C279" s="252"/>
      <c r="D279" s="50"/>
      <c r="E279" s="261"/>
      <c r="H279" s="50"/>
      <c r="I279" s="50"/>
      <c r="J279" s="50"/>
    </row>
    <row r="280" spans="1:10" s="262" customFormat="1" x14ac:dyDescent="0.2">
      <c r="A280" s="256"/>
      <c r="B280" s="244"/>
      <c r="C280" s="252"/>
      <c r="D280" s="50"/>
      <c r="E280" s="261"/>
      <c r="H280" s="50"/>
      <c r="I280" s="50"/>
      <c r="J280" s="50"/>
    </row>
    <row r="281" spans="1:10" s="262" customFormat="1" x14ac:dyDescent="0.2">
      <c r="A281" s="256"/>
      <c r="B281" s="244"/>
      <c r="C281" s="252"/>
      <c r="D281" s="50"/>
      <c r="E281" s="261"/>
      <c r="H281" s="50"/>
      <c r="I281" s="50"/>
      <c r="J281" s="50"/>
    </row>
    <row r="282" spans="1:10" s="262" customFormat="1" x14ac:dyDescent="0.2">
      <c r="A282" s="256"/>
      <c r="B282" s="244"/>
      <c r="C282" s="252"/>
      <c r="D282" s="50"/>
      <c r="E282" s="261"/>
      <c r="H282" s="50"/>
      <c r="I282" s="50"/>
      <c r="J282" s="50"/>
    </row>
    <row r="283" spans="1:10" s="262" customFormat="1" x14ac:dyDescent="0.2">
      <c r="A283" s="256"/>
      <c r="B283" s="244"/>
      <c r="C283" s="252"/>
      <c r="D283" s="50"/>
      <c r="E283" s="261"/>
      <c r="H283" s="50"/>
      <c r="I283" s="50"/>
      <c r="J283" s="50"/>
    </row>
    <row r="284" spans="1:10" s="262" customFormat="1" x14ac:dyDescent="0.2">
      <c r="A284" s="256"/>
      <c r="B284" s="244"/>
      <c r="C284" s="252"/>
      <c r="D284" s="50"/>
      <c r="E284" s="261"/>
      <c r="H284" s="50"/>
      <c r="I284" s="50"/>
      <c r="J284" s="50"/>
    </row>
    <row r="285" spans="1:10" s="262" customFormat="1" x14ac:dyDescent="0.2">
      <c r="A285" s="256"/>
      <c r="B285" s="244"/>
      <c r="C285" s="252"/>
      <c r="D285" s="50"/>
      <c r="E285" s="261"/>
      <c r="H285" s="50"/>
      <c r="I285" s="50"/>
      <c r="J285" s="50"/>
    </row>
    <row r="286" spans="1:10" s="262" customFormat="1" x14ac:dyDescent="0.2">
      <c r="A286" s="256"/>
      <c r="B286" s="244"/>
      <c r="C286" s="252"/>
      <c r="D286" s="50"/>
      <c r="E286" s="261"/>
      <c r="H286" s="50"/>
      <c r="I286" s="50"/>
      <c r="J286" s="50"/>
    </row>
    <row r="287" spans="1:10" s="262" customFormat="1" x14ac:dyDescent="0.2">
      <c r="A287" s="256"/>
      <c r="B287" s="244"/>
      <c r="C287" s="252"/>
      <c r="D287" s="50"/>
      <c r="E287" s="261"/>
      <c r="H287" s="50"/>
      <c r="I287" s="50"/>
      <c r="J287" s="50"/>
    </row>
    <row r="288" spans="1:10" s="262" customFormat="1" x14ac:dyDescent="0.2">
      <c r="A288" s="256"/>
      <c r="B288" s="244"/>
      <c r="C288" s="252"/>
      <c r="D288" s="50"/>
      <c r="E288" s="261"/>
      <c r="H288" s="50"/>
      <c r="I288" s="50"/>
      <c r="J288" s="50"/>
    </row>
    <row r="289" spans="1:10" s="262" customFormat="1" x14ac:dyDescent="0.2">
      <c r="A289" s="256"/>
      <c r="B289" s="244"/>
      <c r="C289" s="252"/>
      <c r="D289" s="50"/>
      <c r="E289" s="261"/>
      <c r="H289" s="50"/>
      <c r="I289" s="50"/>
      <c r="J289" s="50"/>
    </row>
    <row r="290" spans="1:10" s="262" customFormat="1" x14ac:dyDescent="0.2">
      <c r="A290" s="256"/>
      <c r="B290" s="244"/>
      <c r="C290" s="252"/>
      <c r="D290" s="50"/>
      <c r="E290" s="261"/>
      <c r="H290" s="50"/>
      <c r="I290" s="50"/>
      <c r="J290" s="50"/>
    </row>
    <row r="291" spans="1:10" s="262" customFormat="1" x14ac:dyDescent="0.2">
      <c r="A291" s="256"/>
      <c r="B291" s="244"/>
      <c r="C291" s="252"/>
      <c r="D291" s="50"/>
      <c r="E291" s="261"/>
      <c r="H291" s="50"/>
      <c r="I291" s="50"/>
      <c r="J291" s="50"/>
    </row>
    <row r="292" spans="1:10" s="262" customFormat="1" x14ac:dyDescent="0.2">
      <c r="A292" s="256"/>
      <c r="B292" s="244"/>
      <c r="C292" s="252"/>
      <c r="D292" s="50"/>
      <c r="E292" s="261"/>
      <c r="H292" s="50"/>
      <c r="I292" s="50"/>
      <c r="J292" s="50"/>
    </row>
    <row r="293" spans="1:10" s="262" customFormat="1" x14ac:dyDescent="0.2">
      <c r="A293" s="256"/>
      <c r="B293" s="244"/>
      <c r="C293" s="252"/>
      <c r="D293" s="50"/>
      <c r="E293" s="261"/>
      <c r="H293" s="50"/>
      <c r="I293" s="50"/>
      <c r="J293" s="50"/>
    </row>
    <row r="294" spans="1:10" s="262" customFormat="1" x14ac:dyDescent="0.2">
      <c r="A294" s="256"/>
      <c r="B294" s="244"/>
      <c r="C294" s="252"/>
      <c r="D294" s="50"/>
      <c r="E294" s="261"/>
      <c r="H294" s="50"/>
      <c r="I294" s="50"/>
      <c r="J294" s="50"/>
    </row>
    <row r="295" spans="1:10" s="262" customFormat="1" x14ac:dyDescent="0.2">
      <c r="A295" s="256"/>
      <c r="B295" s="244"/>
      <c r="C295" s="252"/>
      <c r="D295" s="50"/>
      <c r="E295" s="261"/>
      <c r="H295" s="50"/>
      <c r="I295" s="50"/>
      <c r="J295" s="50"/>
    </row>
    <row r="296" spans="1:10" s="262" customFormat="1" x14ac:dyDescent="0.2">
      <c r="A296" s="256"/>
      <c r="B296" s="244"/>
      <c r="C296" s="252"/>
      <c r="D296" s="50"/>
      <c r="E296" s="261"/>
      <c r="H296" s="50"/>
      <c r="I296" s="50"/>
      <c r="J296" s="50"/>
    </row>
    <row r="297" spans="1:10" s="262" customFormat="1" x14ac:dyDescent="0.2">
      <c r="A297" s="256"/>
      <c r="B297" s="244"/>
      <c r="C297" s="252"/>
      <c r="D297" s="50"/>
      <c r="E297" s="261"/>
      <c r="H297" s="50"/>
      <c r="I297" s="50"/>
      <c r="J297" s="50"/>
    </row>
    <row r="298" spans="1:10" s="262" customFormat="1" x14ac:dyDescent="0.2">
      <c r="A298" s="256"/>
      <c r="B298" s="244"/>
      <c r="C298" s="252"/>
      <c r="D298" s="50"/>
      <c r="E298" s="261"/>
      <c r="H298" s="50"/>
      <c r="I298" s="50"/>
      <c r="J298" s="50"/>
    </row>
    <row r="299" spans="1:10" s="262" customFormat="1" x14ac:dyDescent="0.2">
      <c r="A299" s="256"/>
      <c r="B299" s="244"/>
      <c r="C299" s="252"/>
      <c r="D299" s="50"/>
      <c r="E299" s="261"/>
      <c r="H299" s="50"/>
      <c r="I299" s="50"/>
      <c r="J299" s="50"/>
    </row>
    <row r="300" spans="1:10" s="262" customFormat="1" x14ac:dyDescent="0.2">
      <c r="A300" s="256"/>
      <c r="B300" s="244"/>
      <c r="C300" s="252"/>
      <c r="D300" s="50"/>
      <c r="E300" s="261"/>
      <c r="H300" s="50"/>
      <c r="I300" s="50"/>
      <c r="J300" s="50"/>
    </row>
    <row r="301" spans="1:10" s="262" customFormat="1" x14ac:dyDescent="0.2">
      <c r="A301" s="256"/>
      <c r="B301" s="244"/>
      <c r="C301" s="252"/>
      <c r="D301" s="50"/>
      <c r="E301" s="261"/>
      <c r="H301" s="50"/>
      <c r="I301" s="50"/>
      <c r="J301" s="50"/>
    </row>
    <row r="302" spans="1:10" s="262" customFormat="1" x14ac:dyDescent="0.2">
      <c r="A302" s="256"/>
      <c r="B302" s="244"/>
      <c r="C302" s="252"/>
      <c r="D302" s="50"/>
      <c r="E302" s="261"/>
      <c r="H302" s="50"/>
      <c r="I302" s="50"/>
      <c r="J302" s="50"/>
    </row>
    <row r="303" spans="1:10" s="262" customFormat="1" x14ac:dyDescent="0.2">
      <c r="A303" s="256"/>
      <c r="B303" s="244"/>
      <c r="C303" s="252"/>
      <c r="D303" s="50"/>
      <c r="E303" s="261"/>
      <c r="H303" s="50"/>
      <c r="I303" s="50"/>
      <c r="J303" s="50"/>
    </row>
    <row r="304" spans="1:10" s="262" customFormat="1" x14ac:dyDescent="0.2">
      <c r="A304" s="256"/>
      <c r="B304" s="244"/>
      <c r="C304" s="252"/>
      <c r="D304" s="50"/>
      <c r="E304" s="261"/>
      <c r="H304" s="50"/>
      <c r="I304" s="50"/>
      <c r="J304" s="50"/>
    </row>
    <row r="305" spans="1:10" s="262" customFormat="1" x14ac:dyDescent="0.2">
      <c r="A305" s="256"/>
      <c r="B305" s="244"/>
      <c r="C305" s="252"/>
      <c r="D305" s="50"/>
      <c r="E305" s="261"/>
      <c r="H305" s="50"/>
      <c r="I305" s="50"/>
      <c r="J305" s="50"/>
    </row>
    <row r="306" spans="1:10" s="262" customFormat="1" x14ac:dyDescent="0.2">
      <c r="A306" s="256"/>
      <c r="B306" s="244"/>
      <c r="C306" s="252"/>
      <c r="D306" s="50"/>
      <c r="E306" s="261"/>
      <c r="H306" s="50"/>
      <c r="I306" s="50"/>
      <c r="J306" s="50"/>
    </row>
    <row r="307" spans="1:10" s="262" customFormat="1" x14ac:dyDescent="0.2">
      <c r="A307" s="256"/>
      <c r="B307" s="244"/>
      <c r="C307" s="252"/>
      <c r="D307" s="50"/>
      <c r="E307" s="261"/>
      <c r="H307" s="50"/>
      <c r="I307" s="50"/>
      <c r="J307" s="50"/>
    </row>
    <row r="308" spans="1:10" s="262" customFormat="1" x14ac:dyDescent="0.2">
      <c r="A308" s="256"/>
      <c r="B308" s="244"/>
      <c r="C308" s="252"/>
      <c r="D308" s="50"/>
      <c r="E308" s="261"/>
      <c r="H308" s="50"/>
      <c r="I308" s="50"/>
      <c r="J308" s="50"/>
    </row>
    <row r="309" spans="1:10" s="262" customFormat="1" x14ac:dyDescent="0.2">
      <c r="A309" s="256"/>
      <c r="B309" s="244"/>
      <c r="C309" s="252"/>
      <c r="D309" s="50"/>
      <c r="E309" s="261"/>
      <c r="H309" s="50"/>
      <c r="I309" s="50"/>
      <c r="J309" s="50"/>
    </row>
    <row r="310" spans="1:10" s="262" customFormat="1" x14ac:dyDescent="0.2">
      <c r="A310" s="256"/>
      <c r="B310" s="244"/>
      <c r="C310" s="252"/>
      <c r="D310" s="50"/>
      <c r="E310" s="261"/>
      <c r="H310" s="50"/>
      <c r="I310" s="50"/>
      <c r="J310" s="50"/>
    </row>
    <row r="311" spans="1:10" s="262" customFormat="1" x14ac:dyDescent="0.2">
      <c r="A311" s="256"/>
      <c r="B311" s="244"/>
      <c r="C311" s="252"/>
      <c r="D311" s="50"/>
      <c r="E311" s="261"/>
      <c r="H311" s="50"/>
      <c r="I311" s="50"/>
      <c r="J311" s="50"/>
    </row>
    <row r="312" spans="1:10" s="262" customFormat="1" x14ac:dyDescent="0.2">
      <c r="A312" s="256"/>
      <c r="B312" s="244"/>
      <c r="C312" s="252"/>
      <c r="D312" s="50"/>
      <c r="E312" s="261"/>
      <c r="H312" s="50"/>
      <c r="I312" s="50"/>
      <c r="J312" s="50"/>
    </row>
    <row r="313" spans="1:10" s="262" customFormat="1" x14ac:dyDescent="0.2">
      <c r="A313" s="256"/>
      <c r="B313" s="244"/>
      <c r="C313" s="252"/>
      <c r="D313" s="50"/>
      <c r="E313" s="261"/>
      <c r="H313" s="50"/>
      <c r="I313" s="50"/>
      <c r="J313" s="50"/>
    </row>
    <row r="314" spans="1:10" s="262" customFormat="1" x14ac:dyDescent="0.2">
      <c r="A314" s="256"/>
      <c r="B314" s="244"/>
      <c r="C314" s="252"/>
      <c r="D314" s="50"/>
      <c r="E314" s="261"/>
      <c r="H314" s="50"/>
      <c r="I314" s="50"/>
      <c r="J314" s="50"/>
    </row>
    <row r="315" spans="1:10" s="262" customFormat="1" x14ac:dyDescent="0.2">
      <c r="A315" s="256"/>
      <c r="B315" s="244"/>
      <c r="C315" s="252"/>
      <c r="D315" s="50"/>
      <c r="E315" s="261"/>
      <c r="H315" s="50"/>
      <c r="I315" s="50"/>
      <c r="J315" s="50"/>
    </row>
    <row r="316" spans="1:10" s="262" customFormat="1" x14ac:dyDescent="0.2">
      <c r="A316" s="256"/>
      <c r="B316" s="244"/>
      <c r="C316" s="252"/>
      <c r="D316" s="50"/>
      <c r="E316" s="261"/>
      <c r="H316" s="50"/>
      <c r="I316" s="50"/>
      <c r="J316" s="50"/>
    </row>
    <row r="317" spans="1:10" s="262" customFormat="1" x14ac:dyDescent="0.2">
      <c r="A317" s="256"/>
      <c r="B317" s="244"/>
      <c r="C317" s="252"/>
      <c r="D317" s="50"/>
      <c r="E317" s="261"/>
      <c r="H317" s="50"/>
      <c r="I317" s="50"/>
      <c r="J317" s="50"/>
    </row>
    <row r="318" spans="1:10" s="262" customFormat="1" x14ac:dyDescent="0.2">
      <c r="A318" s="256"/>
      <c r="B318" s="244"/>
      <c r="C318" s="252"/>
      <c r="D318" s="50"/>
      <c r="E318" s="261"/>
      <c r="H318" s="50"/>
      <c r="I318" s="50"/>
      <c r="J318" s="50"/>
    </row>
    <row r="319" spans="1:10" s="262" customFormat="1" x14ac:dyDescent="0.2">
      <c r="A319" s="256"/>
      <c r="B319" s="244"/>
      <c r="C319" s="252"/>
      <c r="D319" s="50"/>
      <c r="E319" s="261"/>
      <c r="H319" s="50"/>
      <c r="I319" s="50"/>
      <c r="J319" s="50"/>
    </row>
    <row r="320" spans="1:10" s="262" customFormat="1" x14ac:dyDescent="0.2">
      <c r="A320" s="256"/>
      <c r="B320" s="244"/>
      <c r="C320" s="252"/>
      <c r="D320" s="50"/>
      <c r="E320" s="261"/>
      <c r="H320" s="50"/>
      <c r="I320" s="50"/>
      <c r="J320" s="50"/>
    </row>
    <row r="321" spans="1:10" s="262" customFormat="1" x14ac:dyDescent="0.2">
      <c r="A321" s="256"/>
      <c r="B321" s="244"/>
      <c r="C321" s="252"/>
      <c r="D321" s="50"/>
      <c r="E321" s="261"/>
      <c r="H321" s="50"/>
      <c r="I321" s="50"/>
      <c r="J321" s="50"/>
    </row>
    <row r="322" spans="1:10" s="262" customFormat="1" x14ac:dyDescent="0.2">
      <c r="A322" s="256"/>
      <c r="B322" s="244"/>
      <c r="C322" s="252"/>
      <c r="D322" s="50"/>
      <c r="E322" s="261"/>
      <c r="H322" s="50"/>
      <c r="I322" s="50"/>
      <c r="J322" s="50"/>
    </row>
    <row r="323" spans="1:10" s="262" customFormat="1" x14ac:dyDescent="0.2">
      <c r="A323" s="256"/>
      <c r="B323" s="244"/>
      <c r="C323" s="252"/>
      <c r="D323" s="50"/>
      <c r="E323" s="261"/>
      <c r="H323" s="50"/>
      <c r="I323" s="50"/>
      <c r="J323" s="50"/>
    </row>
    <row r="324" spans="1:10" s="262" customFormat="1" x14ac:dyDescent="0.2">
      <c r="A324" s="256"/>
      <c r="B324" s="244"/>
      <c r="C324" s="252"/>
      <c r="D324" s="50"/>
      <c r="E324" s="261"/>
      <c r="H324" s="50"/>
      <c r="I324" s="50"/>
      <c r="J324" s="50"/>
    </row>
    <row r="325" spans="1:10" s="262" customFormat="1" x14ac:dyDescent="0.2">
      <c r="A325" s="256"/>
      <c r="B325" s="244"/>
      <c r="C325" s="252"/>
      <c r="D325" s="50"/>
      <c r="E325" s="261"/>
      <c r="H325" s="50"/>
      <c r="I325" s="50"/>
      <c r="J325" s="50"/>
    </row>
    <row r="326" spans="1:10" s="262" customFormat="1" x14ac:dyDescent="0.2">
      <c r="A326" s="256"/>
      <c r="B326" s="244"/>
      <c r="C326" s="252"/>
      <c r="D326" s="50"/>
      <c r="E326" s="261"/>
      <c r="H326" s="50"/>
      <c r="I326" s="50"/>
      <c r="J326" s="50"/>
    </row>
    <row r="327" spans="1:10" s="262" customFormat="1" x14ac:dyDescent="0.2">
      <c r="A327" s="256"/>
      <c r="B327" s="244"/>
      <c r="C327" s="252"/>
      <c r="D327" s="50"/>
      <c r="E327" s="261"/>
      <c r="H327" s="50"/>
      <c r="I327" s="50"/>
      <c r="J327" s="50"/>
    </row>
    <row r="328" spans="1:10" s="262" customFormat="1" x14ac:dyDescent="0.2">
      <c r="A328" s="256"/>
      <c r="B328" s="244"/>
      <c r="C328" s="252"/>
      <c r="D328" s="50"/>
      <c r="E328" s="261"/>
      <c r="H328" s="50"/>
      <c r="I328" s="50"/>
      <c r="J328" s="50"/>
    </row>
    <row r="329" spans="1:10" s="262" customFormat="1" x14ac:dyDescent="0.2">
      <c r="A329" s="256"/>
      <c r="B329" s="244"/>
      <c r="C329" s="252"/>
      <c r="D329" s="50"/>
      <c r="E329" s="261"/>
      <c r="H329" s="50"/>
      <c r="I329" s="50"/>
      <c r="J329" s="50"/>
    </row>
    <row r="330" spans="1:10" s="262" customFormat="1" x14ac:dyDescent="0.2">
      <c r="A330" s="256"/>
      <c r="B330" s="244"/>
      <c r="C330" s="252"/>
      <c r="D330" s="50"/>
      <c r="E330" s="261"/>
      <c r="H330" s="50"/>
      <c r="I330" s="50"/>
      <c r="J330" s="50"/>
    </row>
    <row r="331" spans="1:10" s="262" customFormat="1" x14ac:dyDescent="0.2">
      <c r="A331" s="256"/>
      <c r="B331" s="244"/>
      <c r="C331" s="252"/>
      <c r="D331" s="50"/>
      <c r="E331" s="261"/>
      <c r="H331" s="50"/>
      <c r="I331" s="50"/>
      <c r="J331" s="50"/>
    </row>
    <row r="332" spans="1:10" s="262" customFormat="1" x14ac:dyDescent="0.2">
      <c r="A332" s="256"/>
      <c r="B332" s="244"/>
      <c r="C332" s="252"/>
      <c r="D332" s="50"/>
      <c r="E332" s="261"/>
      <c r="H332" s="50"/>
      <c r="I332" s="50"/>
      <c r="J332" s="50"/>
    </row>
    <row r="333" spans="1:10" s="262" customFormat="1" x14ac:dyDescent="0.2">
      <c r="A333" s="256"/>
      <c r="B333" s="244"/>
      <c r="C333" s="252"/>
      <c r="D333" s="50"/>
      <c r="E333" s="261"/>
      <c r="H333" s="50"/>
      <c r="I333" s="50"/>
      <c r="J333" s="50"/>
    </row>
    <row r="334" spans="1:10" s="262" customFormat="1" x14ac:dyDescent="0.2">
      <c r="A334" s="256"/>
      <c r="B334" s="244"/>
      <c r="C334" s="252"/>
      <c r="D334" s="50"/>
      <c r="E334" s="261"/>
      <c r="H334" s="50"/>
      <c r="I334" s="50"/>
      <c r="J334" s="50"/>
    </row>
    <row r="335" spans="1:10" s="262" customFormat="1" x14ac:dyDescent="0.2">
      <c r="A335" s="256"/>
      <c r="B335" s="244"/>
      <c r="C335" s="252"/>
      <c r="D335" s="50"/>
      <c r="E335" s="261"/>
      <c r="H335" s="50"/>
      <c r="I335" s="50"/>
      <c r="J335" s="50"/>
    </row>
    <row r="336" spans="1:10" s="262" customFormat="1" x14ac:dyDescent="0.2">
      <c r="A336" s="256"/>
      <c r="B336" s="244"/>
      <c r="C336" s="252"/>
      <c r="D336" s="50"/>
      <c r="E336" s="261"/>
      <c r="H336" s="50"/>
      <c r="I336" s="50"/>
      <c r="J336" s="50"/>
    </row>
    <row r="337" spans="1:10" s="262" customFormat="1" x14ac:dyDescent="0.2">
      <c r="A337" s="256"/>
      <c r="B337" s="244"/>
      <c r="C337" s="252"/>
      <c r="D337" s="50"/>
      <c r="E337" s="261"/>
      <c r="H337" s="50"/>
      <c r="I337" s="50"/>
      <c r="J337" s="50"/>
    </row>
    <row r="338" spans="1:10" s="262" customFormat="1" x14ac:dyDescent="0.2">
      <c r="A338" s="256"/>
      <c r="B338" s="244"/>
      <c r="C338" s="252"/>
      <c r="D338" s="50"/>
      <c r="E338" s="261"/>
      <c r="H338" s="50"/>
      <c r="I338" s="50"/>
      <c r="J338" s="50"/>
    </row>
    <row r="339" spans="1:10" s="262" customFormat="1" x14ac:dyDescent="0.2">
      <c r="A339" s="256"/>
      <c r="B339" s="244"/>
      <c r="C339" s="252"/>
      <c r="D339" s="50"/>
      <c r="E339" s="261"/>
      <c r="H339" s="50"/>
      <c r="I339" s="50"/>
      <c r="J339" s="50"/>
    </row>
    <row r="340" spans="1:10" s="262" customFormat="1" x14ac:dyDescent="0.2">
      <c r="A340" s="256"/>
      <c r="B340" s="244"/>
      <c r="C340" s="252"/>
      <c r="D340" s="50"/>
      <c r="E340" s="261"/>
      <c r="H340" s="50"/>
      <c r="I340" s="50"/>
      <c r="J340" s="50"/>
    </row>
    <row r="341" spans="1:10" s="262" customFormat="1" x14ac:dyDescent="0.2">
      <c r="A341" s="256"/>
      <c r="B341" s="244"/>
      <c r="C341" s="252"/>
      <c r="D341" s="50"/>
      <c r="E341" s="261"/>
      <c r="H341" s="50"/>
      <c r="I341" s="50"/>
      <c r="J341" s="50"/>
    </row>
    <row r="342" spans="1:10" s="262" customFormat="1" x14ac:dyDescent="0.2">
      <c r="A342" s="256"/>
      <c r="B342" s="244"/>
      <c r="C342" s="252"/>
      <c r="D342" s="50"/>
      <c r="E342" s="261"/>
      <c r="H342" s="50"/>
      <c r="I342" s="50"/>
      <c r="J342" s="50"/>
    </row>
    <row r="343" spans="1:10" s="262" customFormat="1" x14ac:dyDescent="0.2">
      <c r="A343" s="256"/>
      <c r="B343" s="244"/>
      <c r="C343" s="252"/>
      <c r="D343" s="50"/>
      <c r="E343" s="261"/>
      <c r="H343" s="50"/>
      <c r="I343" s="50"/>
      <c r="J343" s="50"/>
    </row>
    <row r="344" spans="1:10" s="262" customFormat="1" x14ac:dyDescent="0.2">
      <c r="A344" s="256"/>
      <c r="B344" s="244"/>
      <c r="C344" s="252"/>
      <c r="D344" s="50"/>
      <c r="E344" s="261"/>
      <c r="H344" s="50"/>
      <c r="I344" s="50"/>
      <c r="J344" s="50"/>
    </row>
    <row r="345" spans="1:10" s="262" customFormat="1" x14ac:dyDescent="0.2">
      <c r="A345" s="256"/>
      <c r="B345" s="244"/>
      <c r="C345" s="252"/>
      <c r="D345" s="50"/>
      <c r="E345" s="261"/>
      <c r="H345" s="50"/>
      <c r="I345" s="50"/>
      <c r="J345" s="50"/>
    </row>
    <row r="346" spans="1:10" s="262" customFormat="1" x14ac:dyDescent="0.2">
      <c r="A346" s="256"/>
      <c r="B346" s="244"/>
      <c r="C346" s="252"/>
      <c r="D346" s="50"/>
      <c r="E346" s="261"/>
      <c r="H346" s="50"/>
      <c r="I346" s="50"/>
      <c r="J346" s="50"/>
    </row>
    <row r="347" spans="1:10" s="262" customFormat="1" x14ac:dyDescent="0.2">
      <c r="A347" s="256"/>
      <c r="B347" s="244"/>
      <c r="C347" s="252"/>
      <c r="D347" s="50"/>
      <c r="E347" s="261"/>
      <c r="H347" s="50"/>
      <c r="I347" s="50"/>
      <c r="J347" s="50"/>
    </row>
    <row r="348" spans="1:10" s="262" customFormat="1" x14ac:dyDescent="0.2">
      <c r="A348" s="256"/>
      <c r="B348" s="244"/>
      <c r="C348" s="252"/>
      <c r="D348" s="50"/>
      <c r="E348" s="261"/>
      <c r="H348" s="50"/>
      <c r="I348" s="50"/>
      <c r="J348" s="50"/>
    </row>
    <row r="349" spans="1:10" s="262" customFormat="1" x14ac:dyDescent="0.2">
      <c r="A349" s="256"/>
      <c r="B349" s="244"/>
      <c r="C349" s="252"/>
      <c r="D349" s="50"/>
      <c r="E349" s="261"/>
      <c r="H349" s="50"/>
      <c r="I349" s="50"/>
      <c r="J349" s="50"/>
    </row>
    <row r="350" spans="1:10" s="262" customFormat="1" x14ac:dyDescent="0.2">
      <c r="A350" s="256"/>
      <c r="B350" s="244"/>
      <c r="C350" s="252"/>
      <c r="D350" s="50"/>
      <c r="E350" s="261"/>
      <c r="H350" s="50"/>
      <c r="I350" s="50"/>
      <c r="J350" s="50"/>
    </row>
    <row r="351" spans="1:10" s="262" customFormat="1" x14ac:dyDescent="0.2">
      <c r="A351" s="256"/>
      <c r="B351" s="244"/>
      <c r="C351" s="252"/>
      <c r="D351" s="50"/>
      <c r="E351" s="261"/>
      <c r="H351" s="50"/>
      <c r="I351" s="50"/>
      <c r="J351" s="50"/>
    </row>
    <row r="352" spans="1:10" s="262" customFormat="1" x14ac:dyDescent="0.2">
      <c r="A352" s="256"/>
      <c r="B352" s="244"/>
      <c r="C352" s="252"/>
      <c r="D352" s="50"/>
      <c r="E352" s="261"/>
      <c r="H352" s="50"/>
      <c r="I352" s="50"/>
      <c r="J352" s="50"/>
    </row>
    <row r="353" spans="1:10" s="262" customFormat="1" x14ac:dyDescent="0.2">
      <c r="A353" s="256"/>
      <c r="B353" s="244"/>
      <c r="C353" s="252"/>
      <c r="D353" s="50"/>
      <c r="E353" s="261"/>
      <c r="H353" s="50"/>
      <c r="I353" s="50"/>
      <c r="J353" s="50"/>
    </row>
    <row r="354" spans="1:10" s="262" customFormat="1" x14ac:dyDescent="0.2">
      <c r="A354" s="256"/>
      <c r="B354" s="244"/>
      <c r="C354" s="252"/>
      <c r="D354" s="50"/>
      <c r="E354" s="261"/>
      <c r="H354" s="50"/>
      <c r="I354" s="50"/>
      <c r="J354" s="50"/>
    </row>
    <row r="355" spans="1:10" s="262" customFormat="1" x14ac:dyDescent="0.2">
      <c r="A355" s="256"/>
      <c r="B355" s="244"/>
      <c r="C355" s="252"/>
      <c r="D355" s="50"/>
      <c r="E355" s="261"/>
      <c r="H355" s="50"/>
      <c r="I355" s="50"/>
      <c r="J355" s="50"/>
    </row>
    <row r="356" spans="1:10" s="262" customFormat="1" x14ac:dyDescent="0.2">
      <c r="A356" s="256"/>
      <c r="B356" s="244"/>
      <c r="C356" s="252"/>
      <c r="D356" s="50"/>
      <c r="E356" s="261"/>
      <c r="H356" s="50"/>
      <c r="I356" s="50"/>
      <c r="J356" s="50"/>
    </row>
    <row r="357" spans="1:10" s="262" customFormat="1" x14ac:dyDescent="0.2">
      <c r="A357" s="256"/>
      <c r="B357" s="244"/>
      <c r="C357" s="252"/>
      <c r="D357" s="50"/>
      <c r="E357" s="261"/>
      <c r="H357" s="50"/>
      <c r="I357" s="50"/>
      <c r="J357" s="50"/>
    </row>
    <row r="358" spans="1:10" s="262" customFormat="1" x14ac:dyDescent="0.2">
      <c r="A358" s="256"/>
      <c r="B358" s="244"/>
      <c r="C358" s="252"/>
      <c r="D358" s="50"/>
      <c r="E358" s="261"/>
      <c r="H358" s="50"/>
      <c r="I358" s="50"/>
      <c r="J358" s="50"/>
    </row>
    <row r="359" spans="1:10" s="262" customFormat="1" x14ac:dyDescent="0.2">
      <c r="A359" s="256"/>
      <c r="B359" s="244"/>
      <c r="C359" s="252"/>
      <c r="D359" s="50"/>
      <c r="E359" s="261"/>
      <c r="H359" s="50"/>
      <c r="I359" s="50"/>
      <c r="J359" s="50"/>
    </row>
    <row r="360" spans="1:10" s="262" customFormat="1" x14ac:dyDescent="0.2">
      <c r="A360" s="256"/>
      <c r="B360" s="244"/>
      <c r="C360" s="252"/>
      <c r="D360" s="50"/>
      <c r="E360" s="261"/>
      <c r="H360" s="50"/>
      <c r="I360" s="50"/>
      <c r="J360" s="50"/>
    </row>
    <row r="361" spans="1:10" s="262" customFormat="1" x14ac:dyDescent="0.2">
      <c r="A361" s="256"/>
      <c r="B361" s="244"/>
      <c r="C361" s="252"/>
      <c r="D361" s="50"/>
      <c r="E361" s="261"/>
      <c r="H361" s="50"/>
      <c r="I361" s="50"/>
      <c r="J361" s="50"/>
    </row>
    <row r="362" spans="1:10" s="262" customFormat="1" x14ac:dyDescent="0.2">
      <c r="A362" s="256"/>
      <c r="B362" s="244"/>
      <c r="C362" s="252"/>
      <c r="D362" s="50"/>
      <c r="E362" s="261"/>
      <c r="H362" s="50"/>
      <c r="I362" s="50"/>
      <c r="J362" s="50"/>
    </row>
    <row r="363" spans="1:10" s="262" customFormat="1" x14ac:dyDescent="0.2">
      <c r="A363" s="256"/>
      <c r="B363" s="244"/>
      <c r="C363" s="252"/>
      <c r="D363" s="50"/>
      <c r="E363" s="261"/>
      <c r="H363" s="50"/>
      <c r="I363" s="50"/>
      <c r="J363" s="50"/>
    </row>
    <row r="364" spans="1:10" s="262" customFormat="1" x14ac:dyDescent="0.2">
      <c r="A364" s="256"/>
      <c r="B364" s="244"/>
      <c r="C364" s="252"/>
      <c r="D364" s="50"/>
      <c r="E364" s="261"/>
      <c r="H364" s="50"/>
      <c r="I364" s="50"/>
      <c r="J364" s="50"/>
    </row>
    <row r="365" spans="1:10" s="262" customFormat="1" x14ac:dyDescent="0.2">
      <c r="A365" s="256"/>
      <c r="B365" s="244"/>
      <c r="C365" s="252"/>
      <c r="D365" s="50"/>
      <c r="E365" s="261"/>
      <c r="H365" s="50"/>
      <c r="I365" s="50"/>
      <c r="J365" s="50"/>
    </row>
    <row r="366" spans="1:10" s="262" customFormat="1" x14ac:dyDescent="0.2">
      <c r="A366" s="256"/>
      <c r="B366" s="244"/>
      <c r="C366" s="252"/>
      <c r="D366" s="50"/>
      <c r="E366" s="261"/>
      <c r="H366" s="50"/>
      <c r="I366" s="50"/>
      <c r="J366" s="50"/>
    </row>
    <row r="367" spans="1:10" s="262" customFormat="1" x14ac:dyDescent="0.2">
      <c r="A367" s="256"/>
      <c r="B367" s="244"/>
      <c r="C367" s="252"/>
      <c r="D367" s="50"/>
      <c r="E367" s="261"/>
      <c r="H367" s="50"/>
      <c r="I367" s="50"/>
      <c r="J367" s="50"/>
    </row>
    <row r="368" spans="1:10" s="262" customFormat="1" x14ac:dyDescent="0.2">
      <c r="A368" s="256"/>
      <c r="B368" s="244"/>
      <c r="C368" s="252"/>
      <c r="D368" s="50"/>
      <c r="E368" s="261"/>
      <c r="H368" s="50"/>
      <c r="I368" s="50"/>
      <c r="J368" s="50"/>
    </row>
    <row r="369" spans="1:10" s="262" customFormat="1" x14ac:dyDescent="0.2">
      <c r="A369" s="256"/>
      <c r="B369" s="244"/>
      <c r="C369" s="252"/>
      <c r="D369" s="50"/>
      <c r="E369" s="261"/>
      <c r="H369" s="50"/>
      <c r="I369" s="50"/>
      <c r="J369" s="50"/>
    </row>
    <row r="370" spans="1:10" s="262" customFormat="1" x14ac:dyDescent="0.2">
      <c r="A370" s="256"/>
      <c r="B370" s="244"/>
      <c r="C370" s="252"/>
      <c r="D370" s="50"/>
      <c r="E370" s="261"/>
      <c r="H370" s="50"/>
      <c r="I370" s="50"/>
      <c r="J370" s="50"/>
    </row>
    <row r="371" spans="1:10" s="262" customFormat="1" x14ac:dyDescent="0.2">
      <c r="A371" s="256"/>
      <c r="B371" s="244"/>
      <c r="C371" s="252"/>
      <c r="D371" s="50"/>
      <c r="E371" s="261"/>
      <c r="H371" s="50"/>
      <c r="I371" s="50"/>
      <c r="J371" s="50"/>
    </row>
    <row r="372" spans="1:10" s="262" customFormat="1" x14ac:dyDescent="0.2">
      <c r="A372" s="256"/>
      <c r="B372" s="244"/>
      <c r="C372" s="252"/>
      <c r="D372" s="50"/>
      <c r="E372" s="261"/>
      <c r="H372" s="50"/>
      <c r="I372" s="50"/>
      <c r="J372" s="50"/>
    </row>
    <row r="373" spans="1:10" s="262" customFormat="1" x14ac:dyDescent="0.2">
      <c r="A373" s="256"/>
      <c r="B373" s="244"/>
      <c r="C373" s="252"/>
      <c r="D373" s="50"/>
      <c r="E373" s="261"/>
      <c r="H373" s="50"/>
      <c r="I373" s="50"/>
      <c r="J373" s="50"/>
    </row>
    <row r="374" spans="1:10" s="262" customFormat="1" x14ac:dyDescent="0.2">
      <c r="A374" s="256"/>
      <c r="B374" s="244"/>
      <c r="C374" s="252"/>
      <c r="D374" s="50"/>
      <c r="E374" s="261"/>
      <c r="H374" s="50"/>
      <c r="I374" s="50"/>
      <c r="J374" s="50"/>
    </row>
    <row r="375" spans="1:10" s="262" customFormat="1" x14ac:dyDescent="0.2">
      <c r="A375" s="256"/>
      <c r="B375" s="244"/>
      <c r="C375" s="252"/>
      <c r="D375" s="50"/>
      <c r="E375" s="261"/>
      <c r="H375" s="50"/>
      <c r="I375" s="50"/>
      <c r="J375" s="50"/>
    </row>
    <row r="376" spans="1:10" s="262" customFormat="1" x14ac:dyDescent="0.2">
      <c r="A376" s="256"/>
      <c r="B376" s="244"/>
      <c r="C376" s="252"/>
      <c r="D376" s="50"/>
      <c r="E376" s="261"/>
      <c r="H376" s="50"/>
      <c r="I376" s="50"/>
      <c r="J376" s="50"/>
    </row>
    <row r="377" spans="1:10" s="262" customFormat="1" x14ac:dyDescent="0.2">
      <c r="A377" s="256"/>
      <c r="B377" s="244"/>
      <c r="C377" s="252"/>
      <c r="D377" s="50"/>
      <c r="E377" s="261"/>
      <c r="H377" s="50"/>
      <c r="I377" s="50"/>
      <c r="J377" s="50"/>
    </row>
    <row r="378" spans="1:10" s="262" customFormat="1" x14ac:dyDescent="0.2">
      <c r="A378" s="256"/>
      <c r="B378" s="244"/>
      <c r="C378" s="252"/>
      <c r="D378" s="50"/>
      <c r="E378" s="261"/>
      <c r="H378" s="50"/>
      <c r="I378" s="50"/>
      <c r="J378" s="50"/>
    </row>
    <row r="379" spans="1:10" s="262" customFormat="1" x14ac:dyDescent="0.2">
      <c r="A379" s="256"/>
      <c r="B379" s="244"/>
      <c r="C379" s="252"/>
      <c r="D379" s="50"/>
      <c r="E379" s="261"/>
      <c r="H379" s="50"/>
      <c r="I379" s="50"/>
      <c r="J379" s="50"/>
    </row>
    <row r="380" spans="1:10" s="262" customFormat="1" x14ac:dyDescent="0.2">
      <c r="A380" s="256"/>
      <c r="B380" s="244"/>
      <c r="C380" s="252"/>
      <c r="D380" s="50"/>
      <c r="E380" s="261"/>
      <c r="H380" s="50"/>
      <c r="I380" s="50"/>
      <c r="J380" s="50"/>
    </row>
    <row r="381" spans="1:10" s="262" customFormat="1" x14ac:dyDescent="0.2">
      <c r="A381" s="256"/>
      <c r="B381" s="244"/>
      <c r="C381" s="252"/>
      <c r="D381" s="50"/>
      <c r="E381" s="261"/>
      <c r="H381" s="50"/>
      <c r="I381" s="50"/>
      <c r="J381" s="50"/>
    </row>
    <row r="382" spans="1:10" s="262" customFormat="1" x14ac:dyDescent="0.2">
      <c r="A382" s="256"/>
      <c r="B382" s="244"/>
      <c r="C382" s="252"/>
      <c r="D382" s="50"/>
      <c r="E382" s="261"/>
      <c r="H382" s="50"/>
      <c r="I382" s="50"/>
      <c r="J382" s="50"/>
    </row>
    <row r="383" spans="1:10" s="262" customFormat="1" x14ac:dyDescent="0.2">
      <c r="A383" s="256"/>
      <c r="B383" s="244"/>
      <c r="C383" s="252"/>
      <c r="D383" s="50"/>
      <c r="E383" s="261"/>
      <c r="H383" s="50"/>
      <c r="I383" s="50"/>
      <c r="J383" s="50"/>
    </row>
    <row r="384" spans="1:10" s="262" customFormat="1" x14ac:dyDescent="0.2">
      <c r="A384" s="256"/>
      <c r="B384" s="244"/>
      <c r="C384" s="252"/>
      <c r="D384" s="50"/>
      <c r="E384" s="261"/>
      <c r="H384" s="50"/>
      <c r="I384" s="50"/>
      <c r="J384" s="50"/>
    </row>
    <row r="385" spans="1:10" s="262" customFormat="1" x14ac:dyDescent="0.2">
      <c r="A385" s="256"/>
      <c r="B385" s="244"/>
      <c r="C385" s="252"/>
      <c r="D385" s="50"/>
      <c r="E385" s="261"/>
      <c r="H385" s="50"/>
      <c r="I385" s="50"/>
      <c r="J385" s="50"/>
    </row>
    <row r="386" spans="1:10" s="262" customFormat="1" x14ac:dyDescent="0.2">
      <c r="A386" s="256"/>
      <c r="B386" s="244"/>
      <c r="C386" s="252"/>
      <c r="D386" s="50"/>
      <c r="E386" s="261"/>
      <c r="H386" s="50"/>
      <c r="I386" s="50"/>
      <c r="J386" s="50"/>
    </row>
    <row r="387" spans="1:10" s="262" customFormat="1" x14ac:dyDescent="0.2">
      <c r="A387" s="256"/>
      <c r="B387" s="244"/>
      <c r="C387" s="252"/>
      <c r="D387" s="50"/>
      <c r="E387" s="261"/>
      <c r="H387" s="50"/>
      <c r="I387" s="50"/>
      <c r="J387" s="50"/>
    </row>
    <row r="388" spans="1:10" s="262" customFormat="1" x14ac:dyDescent="0.2">
      <c r="A388" s="256"/>
      <c r="B388" s="244"/>
      <c r="C388" s="252"/>
      <c r="D388" s="50"/>
      <c r="E388" s="261"/>
      <c r="H388" s="50"/>
      <c r="I388" s="50"/>
      <c r="J388" s="50"/>
    </row>
    <row r="389" spans="1:10" s="262" customFormat="1" x14ac:dyDescent="0.2">
      <c r="A389" s="256"/>
      <c r="B389" s="244"/>
      <c r="C389" s="252"/>
      <c r="D389" s="50"/>
      <c r="E389" s="261"/>
      <c r="H389" s="50"/>
      <c r="I389" s="50"/>
      <c r="J389" s="50"/>
    </row>
    <row r="390" spans="1:10" s="262" customFormat="1" x14ac:dyDescent="0.2">
      <c r="A390" s="256"/>
      <c r="B390" s="244"/>
      <c r="C390" s="252"/>
      <c r="D390" s="50"/>
      <c r="E390" s="261"/>
      <c r="H390" s="50"/>
      <c r="I390" s="50"/>
      <c r="J390" s="50"/>
    </row>
    <row r="391" spans="1:10" s="262" customFormat="1" x14ac:dyDescent="0.2">
      <c r="A391" s="256"/>
      <c r="B391" s="244"/>
      <c r="C391" s="252"/>
      <c r="D391" s="50"/>
      <c r="E391" s="261"/>
      <c r="H391" s="50"/>
      <c r="I391" s="50"/>
      <c r="J391" s="50"/>
    </row>
    <row r="392" spans="1:10" s="262" customFormat="1" x14ac:dyDescent="0.2">
      <c r="A392" s="256"/>
      <c r="B392" s="244"/>
      <c r="C392" s="252"/>
      <c r="D392" s="50"/>
      <c r="E392" s="261"/>
      <c r="H392" s="50"/>
      <c r="I392" s="50"/>
      <c r="J392" s="50"/>
    </row>
    <row r="393" spans="1:10" s="262" customFormat="1" x14ac:dyDescent="0.2">
      <c r="A393" s="256"/>
      <c r="B393" s="244"/>
      <c r="C393" s="252"/>
      <c r="D393" s="50"/>
      <c r="E393" s="261"/>
      <c r="H393" s="50"/>
      <c r="I393" s="50"/>
      <c r="J393" s="50"/>
    </row>
    <row r="394" spans="1:10" s="262" customFormat="1" x14ac:dyDescent="0.2">
      <c r="A394" s="256"/>
      <c r="B394" s="244"/>
      <c r="C394" s="252"/>
      <c r="D394" s="50"/>
      <c r="E394" s="261"/>
      <c r="H394" s="50"/>
      <c r="I394" s="50"/>
      <c r="J394" s="50"/>
    </row>
    <row r="395" spans="1:10" s="262" customFormat="1" x14ac:dyDescent="0.2">
      <c r="A395" s="256"/>
      <c r="B395" s="244"/>
      <c r="C395" s="252"/>
      <c r="D395" s="50"/>
      <c r="E395" s="261"/>
      <c r="H395" s="50"/>
      <c r="I395" s="50"/>
      <c r="J395" s="50"/>
    </row>
    <row r="396" spans="1:10" s="262" customFormat="1" x14ac:dyDescent="0.2">
      <c r="A396" s="256"/>
      <c r="B396" s="244"/>
      <c r="C396" s="252"/>
      <c r="D396" s="50"/>
      <c r="E396" s="261"/>
      <c r="H396" s="50"/>
      <c r="I396" s="50"/>
      <c r="J396" s="50"/>
    </row>
    <row r="397" spans="1:10" s="262" customFormat="1" x14ac:dyDescent="0.2">
      <c r="A397" s="256"/>
      <c r="B397" s="244"/>
      <c r="C397" s="252"/>
      <c r="D397" s="50"/>
      <c r="E397" s="261"/>
      <c r="H397" s="50"/>
      <c r="I397" s="50"/>
      <c r="J397" s="50"/>
    </row>
    <row r="398" spans="1:10" s="262" customFormat="1" x14ac:dyDescent="0.2">
      <c r="A398" s="256"/>
      <c r="B398" s="244"/>
      <c r="C398" s="252"/>
      <c r="D398" s="50"/>
      <c r="E398" s="261"/>
      <c r="H398" s="50"/>
      <c r="I398" s="50"/>
      <c r="J398" s="50"/>
    </row>
    <row r="399" spans="1:10" s="262" customFormat="1" x14ac:dyDescent="0.2">
      <c r="A399" s="256"/>
      <c r="B399" s="244"/>
      <c r="C399" s="252"/>
      <c r="D399" s="50"/>
      <c r="E399" s="261"/>
      <c r="H399" s="50"/>
      <c r="I399" s="50"/>
      <c r="J399" s="50"/>
    </row>
    <row r="400" spans="1:10" s="262" customFormat="1" x14ac:dyDescent="0.2">
      <c r="A400" s="256"/>
      <c r="B400" s="244"/>
      <c r="C400" s="252"/>
      <c r="D400" s="50"/>
      <c r="E400" s="261"/>
      <c r="H400" s="50"/>
      <c r="I400" s="50"/>
      <c r="J400" s="50"/>
    </row>
    <row r="401" spans="1:10" s="262" customFormat="1" x14ac:dyDescent="0.2">
      <c r="A401" s="256"/>
      <c r="B401" s="244"/>
      <c r="C401" s="252"/>
      <c r="D401" s="50"/>
      <c r="E401" s="261"/>
      <c r="H401" s="50"/>
      <c r="I401" s="50"/>
      <c r="J401" s="50"/>
    </row>
    <row r="402" spans="1:10" s="262" customFormat="1" x14ac:dyDescent="0.2">
      <c r="A402" s="256"/>
      <c r="B402" s="244"/>
      <c r="C402" s="252"/>
      <c r="D402" s="50"/>
      <c r="E402" s="261"/>
      <c r="H402" s="50"/>
      <c r="I402" s="50"/>
      <c r="J402" s="50"/>
    </row>
    <row r="403" spans="1:10" s="262" customFormat="1" x14ac:dyDescent="0.2">
      <c r="A403" s="256"/>
      <c r="B403" s="244"/>
      <c r="C403" s="252"/>
      <c r="D403" s="50"/>
      <c r="E403" s="261"/>
      <c r="H403" s="50"/>
      <c r="I403" s="50"/>
      <c r="J403" s="50"/>
    </row>
    <row r="404" spans="1:10" s="262" customFormat="1" x14ac:dyDescent="0.2">
      <c r="A404" s="256"/>
      <c r="B404" s="244"/>
      <c r="C404" s="252"/>
      <c r="D404" s="50"/>
      <c r="E404" s="261"/>
      <c r="H404" s="50"/>
      <c r="I404" s="50"/>
      <c r="J404" s="50"/>
    </row>
    <row r="405" spans="1:10" s="262" customFormat="1" x14ac:dyDescent="0.2">
      <c r="A405" s="256"/>
      <c r="B405" s="244"/>
      <c r="C405" s="252"/>
      <c r="D405" s="50"/>
      <c r="E405" s="261"/>
      <c r="H405" s="50"/>
      <c r="I405" s="50"/>
      <c r="J405" s="50"/>
    </row>
    <row r="406" spans="1:10" s="262" customFormat="1" x14ac:dyDescent="0.2">
      <c r="A406" s="256"/>
      <c r="B406" s="244"/>
      <c r="C406" s="252"/>
      <c r="D406" s="50"/>
      <c r="E406" s="261"/>
      <c r="H406" s="50"/>
      <c r="I406" s="50"/>
      <c r="J406" s="50"/>
    </row>
    <row r="407" spans="1:10" s="262" customFormat="1" x14ac:dyDescent="0.2">
      <c r="A407" s="256"/>
      <c r="B407" s="244"/>
      <c r="C407" s="252"/>
      <c r="D407" s="50"/>
      <c r="E407" s="261"/>
      <c r="H407" s="50"/>
      <c r="I407" s="50"/>
      <c r="J407" s="50"/>
    </row>
    <row r="408" spans="1:10" s="262" customFormat="1" x14ac:dyDescent="0.2">
      <c r="A408" s="256"/>
      <c r="B408" s="244"/>
      <c r="C408" s="252"/>
      <c r="D408" s="50"/>
      <c r="E408" s="261"/>
      <c r="H408" s="50"/>
      <c r="I408" s="50"/>
      <c r="J408" s="50"/>
    </row>
    <row r="409" spans="1:10" s="262" customFormat="1" x14ac:dyDescent="0.2">
      <c r="A409" s="256"/>
      <c r="B409" s="244"/>
      <c r="C409" s="252"/>
      <c r="D409" s="50"/>
      <c r="E409" s="261"/>
      <c r="H409" s="50"/>
      <c r="I409" s="50"/>
      <c r="J409" s="50"/>
    </row>
    <row r="410" spans="1:10" s="262" customFormat="1" x14ac:dyDescent="0.2">
      <c r="A410" s="256"/>
      <c r="B410" s="244"/>
      <c r="C410" s="252"/>
      <c r="D410" s="50"/>
      <c r="E410" s="261"/>
      <c r="H410" s="50"/>
      <c r="I410" s="50"/>
      <c r="J410" s="50"/>
    </row>
    <row r="411" spans="1:10" s="262" customFormat="1" x14ac:dyDescent="0.2">
      <c r="A411" s="256"/>
      <c r="B411" s="244"/>
      <c r="C411" s="252"/>
      <c r="D411" s="50"/>
      <c r="E411" s="261"/>
      <c r="H411" s="50"/>
      <c r="I411" s="50"/>
      <c r="J411" s="50"/>
    </row>
    <row r="412" spans="1:10" s="262" customFormat="1" x14ac:dyDescent="0.2">
      <c r="A412" s="256"/>
      <c r="B412" s="244"/>
      <c r="C412" s="252"/>
      <c r="D412" s="50"/>
      <c r="E412" s="261"/>
      <c r="H412" s="50"/>
      <c r="I412" s="50"/>
      <c r="J412" s="50"/>
    </row>
    <row r="413" spans="1:10" s="262" customFormat="1" x14ac:dyDescent="0.2">
      <c r="A413" s="256"/>
      <c r="B413" s="244"/>
      <c r="C413" s="252"/>
      <c r="D413" s="50"/>
      <c r="E413" s="261"/>
      <c r="H413" s="50"/>
      <c r="I413" s="50"/>
      <c r="J413" s="50"/>
    </row>
    <row r="414" spans="1:10" s="262" customFormat="1" x14ac:dyDescent="0.2">
      <c r="A414" s="256"/>
      <c r="B414" s="244"/>
      <c r="C414" s="252"/>
      <c r="D414" s="50"/>
      <c r="E414" s="261"/>
      <c r="H414" s="50"/>
      <c r="I414" s="50"/>
      <c r="J414" s="50"/>
    </row>
    <row r="415" spans="1:10" s="262" customFormat="1" x14ac:dyDescent="0.2">
      <c r="A415" s="256"/>
      <c r="B415" s="244"/>
      <c r="C415" s="252"/>
      <c r="D415" s="50"/>
      <c r="E415" s="261"/>
      <c r="H415" s="50"/>
      <c r="I415" s="50"/>
      <c r="J415" s="50"/>
    </row>
    <row r="416" spans="1:10" s="262" customFormat="1" x14ac:dyDescent="0.2">
      <c r="A416" s="256"/>
      <c r="B416" s="244"/>
      <c r="C416" s="252"/>
      <c r="D416" s="50"/>
      <c r="E416" s="261"/>
      <c r="H416" s="50"/>
      <c r="I416" s="50"/>
      <c r="J416" s="50"/>
    </row>
    <row r="417" spans="1:10" s="262" customFormat="1" x14ac:dyDescent="0.2">
      <c r="A417" s="256"/>
      <c r="B417" s="244"/>
      <c r="C417" s="252"/>
      <c r="D417" s="50"/>
      <c r="E417" s="261"/>
      <c r="H417" s="50"/>
      <c r="I417" s="50"/>
      <c r="J417" s="50"/>
    </row>
    <row r="418" spans="1:10" s="262" customFormat="1" x14ac:dyDescent="0.2">
      <c r="A418" s="256"/>
      <c r="B418" s="244"/>
      <c r="C418" s="252"/>
      <c r="D418" s="50"/>
      <c r="E418" s="261"/>
      <c r="H418" s="50"/>
      <c r="I418" s="50"/>
      <c r="J418" s="50"/>
    </row>
    <row r="419" spans="1:10" s="262" customFormat="1" x14ac:dyDescent="0.2">
      <c r="A419" s="256"/>
      <c r="B419" s="244"/>
      <c r="C419" s="252"/>
      <c r="D419" s="50"/>
      <c r="E419" s="261"/>
      <c r="H419" s="50"/>
      <c r="I419" s="50"/>
      <c r="J419" s="50"/>
    </row>
    <row r="420" spans="1:10" s="262" customFormat="1" x14ac:dyDescent="0.2">
      <c r="A420" s="256"/>
      <c r="B420" s="244"/>
      <c r="C420" s="252"/>
      <c r="D420" s="50"/>
      <c r="E420" s="261"/>
      <c r="H420" s="50"/>
      <c r="I420" s="50"/>
      <c r="J420" s="50"/>
    </row>
    <row r="421" spans="1:10" s="262" customFormat="1" x14ac:dyDescent="0.2">
      <c r="A421" s="256"/>
      <c r="B421" s="244"/>
      <c r="C421" s="252"/>
      <c r="D421" s="50"/>
      <c r="E421" s="261"/>
      <c r="H421" s="50"/>
      <c r="I421" s="50"/>
      <c r="J421" s="50"/>
    </row>
    <row r="422" spans="1:10" s="262" customFormat="1" x14ac:dyDescent="0.2">
      <c r="A422" s="256"/>
      <c r="B422" s="244"/>
      <c r="C422" s="252"/>
      <c r="D422" s="50"/>
      <c r="E422" s="261"/>
      <c r="H422" s="50"/>
      <c r="I422" s="50"/>
      <c r="J422" s="50"/>
    </row>
    <row r="423" spans="1:10" s="262" customFormat="1" x14ac:dyDescent="0.2">
      <c r="A423" s="256"/>
      <c r="B423" s="244"/>
      <c r="C423" s="252"/>
      <c r="D423" s="50"/>
      <c r="E423" s="261"/>
      <c r="H423" s="50"/>
      <c r="I423" s="50"/>
      <c r="J423" s="50"/>
    </row>
    <row r="424" spans="1:10" s="262" customFormat="1" x14ac:dyDescent="0.2">
      <c r="A424" s="256"/>
      <c r="B424" s="244"/>
      <c r="C424" s="252"/>
      <c r="D424" s="50"/>
      <c r="E424" s="261"/>
      <c r="H424" s="50"/>
      <c r="I424" s="50"/>
      <c r="J424" s="50"/>
    </row>
    <row r="425" spans="1:10" s="262" customFormat="1" x14ac:dyDescent="0.2">
      <c r="A425" s="256"/>
      <c r="B425" s="244"/>
      <c r="C425" s="252"/>
      <c r="D425" s="50"/>
      <c r="E425" s="261"/>
      <c r="H425" s="50"/>
      <c r="I425" s="50"/>
      <c r="J425" s="50"/>
    </row>
    <row r="426" spans="1:10" s="262" customFormat="1" x14ac:dyDescent="0.2">
      <c r="A426" s="256"/>
      <c r="B426" s="244"/>
      <c r="C426" s="252"/>
      <c r="D426" s="50"/>
      <c r="E426" s="261"/>
      <c r="H426" s="50"/>
      <c r="I426" s="50"/>
      <c r="J426" s="50"/>
    </row>
    <row r="427" spans="1:10" s="262" customFormat="1" x14ac:dyDescent="0.2">
      <c r="A427" s="256"/>
      <c r="B427" s="244"/>
      <c r="C427" s="252"/>
      <c r="D427" s="50"/>
      <c r="E427" s="261"/>
      <c r="H427" s="50"/>
      <c r="I427" s="50"/>
      <c r="J427" s="50"/>
    </row>
    <row r="428" spans="1:10" s="262" customFormat="1" x14ac:dyDescent="0.2">
      <c r="A428" s="256"/>
      <c r="B428" s="244"/>
      <c r="C428" s="252"/>
      <c r="D428" s="50"/>
      <c r="E428" s="261"/>
      <c r="H428" s="50"/>
      <c r="I428" s="50"/>
      <c r="J428" s="50"/>
    </row>
    <row r="429" spans="1:10" s="262" customFormat="1" x14ac:dyDescent="0.2">
      <c r="A429" s="256"/>
      <c r="B429" s="244"/>
      <c r="C429" s="252"/>
      <c r="D429" s="50"/>
      <c r="E429" s="261"/>
      <c r="H429" s="50"/>
      <c r="I429" s="50"/>
      <c r="J429" s="50"/>
    </row>
    <row r="430" spans="1:10" s="262" customFormat="1" x14ac:dyDescent="0.2">
      <c r="A430" s="256"/>
      <c r="B430" s="244"/>
      <c r="C430" s="252"/>
      <c r="D430" s="50"/>
      <c r="E430" s="261"/>
      <c r="H430" s="50"/>
      <c r="I430" s="50"/>
      <c r="J430" s="50"/>
    </row>
    <row r="431" spans="1:10" s="262" customFormat="1" x14ac:dyDescent="0.2">
      <c r="A431" s="256"/>
      <c r="B431" s="244"/>
      <c r="C431" s="252"/>
      <c r="D431" s="50"/>
      <c r="E431" s="261"/>
      <c r="H431" s="50"/>
      <c r="I431" s="50"/>
      <c r="J431" s="50"/>
    </row>
    <row r="432" spans="1:10" s="262" customFormat="1" x14ac:dyDescent="0.2">
      <c r="A432" s="256"/>
      <c r="B432" s="244"/>
      <c r="C432" s="252"/>
      <c r="D432" s="50"/>
      <c r="E432" s="261"/>
      <c r="H432" s="50"/>
      <c r="I432" s="50"/>
      <c r="J432" s="50"/>
    </row>
    <row r="433" spans="1:10" s="262" customFormat="1" x14ac:dyDescent="0.2">
      <c r="A433" s="256"/>
      <c r="B433" s="244"/>
      <c r="C433" s="252"/>
      <c r="D433" s="50"/>
      <c r="E433" s="261"/>
      <c r="H433" s="50"/>
      <c r="I433" s="50"/>
      <c r="J433" s="50"/>
    </row>
    <row r="434" spans="1:10" s="262" customFormat="1" x14ac:dyDescent="0.2">
      <c r="A434" s="256"/>
      <c r="B434" s="244"/>
      <c r="C434" s="252"/>
      <c r="D434" s="50"/>
      <c r="E434" s="261"/>
      <c r="H434" s="50"/>
      <c r="I434" s="50"/>
      <c r="J434" s="50"/>
    </row>
    <row r="435" spans="1:10" s="262" customFormat="1" x14ac:dyDescent="0.2">
      <c r="A435" s="256"/>
      <c r="B435" s="244"/>
      <c r="C435" s="252"/>
      <c r="D435" s="50"/>
      <c r="E435" s="261"/>
      <c r="H435" s="50"/>
      <c r="I435" s="50"/>
      <c r="J435" s="50"/>
    </row>
    <row r="436" spans="1:10" s="262" customFormat="1" x14ac:dyDescent="0.2">
      <c r="A436" s="256"/>
      <c r="B436" s="244"/>
      <c r="C436" s="252"/>
      <c r="D436" s="50"/>
      <c r="E436" s="261"/>
      <c r="H436" s="50"/>
      <c r="I436" s="50"/>
      <c r="J436" s="50"/>
    </row>
    <row r="437" spans="1:10" s="262" customFormat="1" x14ac:dyDescent="0.2">
      <c r="A437" s="256"/>
      <c r="B437" s="244"/>
      <c r="C437" s="252"/>
      <c r="D437" s="50"/>
      <c r="E437" s="261"/>
      <c r="H437" s="50"/>
      <c r="I437" s="50"/>
      <c r="J437" s="50"/>
    </row>
    <row r="438" spans="1:10" s="262" customFormat="1" x14ac:dyDescent="0.2">
      <c r="A438" s="256"/>
      <c r="B438" s="244"/>
      <c r="C438" s="252"/>
      <c r="D438" s="50"/>
      <c r="E438" s="261"/>
      <c r="H438" s="50"/>
      <c r="I438" s="50"/>
      <c r="J438" s="50"/>
    </row>
    <row r="439" spans="1:10" s="262" customFormat="1" x14ac:dyDescent="0.2">
      <c r="A439" s="256"/>
      <c r="B439" s="244"/>
      <c r="C439" s="252"/>
      <c r="D439" s="50"/>
      <c r="E439" s="261"/>
      <c r="H439" s="50"/>
      <c r="I439" s="50"/>
      <c r="J439" s="50"/>
    </row>
    <row r="440" spans="1:10" s="262" customFormat="1" x14ac:dyDescent="0.2">
      <c r="A440" s="256"/>
      <c r="B440" s="244"/>
      <c r="C440" s="252"/>
      <c r="D440" s="50"/>
      <c r="E440" s="261"/>
      <c r="H440" s="50"/>
      <c r="I440" s="50"/>
      <c r="J440" s="50"/>
    </row>
    <row r="441" spans="1:10" s="262" customFormat="1" x14ac:dyDescent="0.2">
      <c r="A441" s="256"/>
      <c r="B441" s="244"/>
      <c r="C441" s="252"/>
      <c r="D441" s="50"/>
      <c r="E441" s="261"/>
      <c r="H441" s="50"/>
      <c r="I441" s="50"/>
      <c r="J441" s="50"/>
    </row>
    <row r="442" spans="1:10" s="262" customFormat="1" x14ac:dyDescent="0.2">
      <c r="A442" s="256"/>
      <c r="B442" s="244"/>
      <c r="C442" s="252"/>
      <c r="D442" s="50"/>
      <c r="E442" s="261"/>
      <c r="H442" s="50"/>
      <c r="I442" s="50"/>
      <c r="J442" s="50"/>
    </row>
    <row r="443" spans="1:10" s="262" customFormat="1" x14ac:dyDescent="0.2">
      <c r="A443" s="256"/>
      <c r="B443" s="244"/>
      <c r="C443" s="252"/>
      <c r="D443" s="50"/>
      <c r="E443" s="261"/>
      <c r="H443" s="50"/>
      <c r="I443" s="50"/>
      <c r="J443" s="50"/>
    </row>
    <row r="444" spans="1:10" s="262" customFormat="1" x14ac:dyDescent="0.2">
      <c r="A444" s="256"/>
      <c r="B444" s="244"/>
      <c r="C444" s="252"/>
      <c r="D444" s="50"/>
      <c r="E444" s="261"/>
      <c r="H444" s="50"/>
      <c r="I444" s="50"/>
      <c r="J444" s="50"/>
    </row>
    <row r="445" spans="1:10" s="262" customFormat="1" x14ac:dyDescent="0.2">
      <c r="A445" s="256"/>
      <c r="B445" s="244"/>
      <c r="C445" s="252"/>
      <c r="D445" s="50"/>
      <c r="E445" s="261"/>
      <c r="H445" s="50"/>
      <c r="I445" s="50"/>
      <c r="J445" s="50"/>
    </row>
    <row r="446" spans="1:10" s="262" customFormat="1" x14ac:dyDescent="0.2">
      <c r="A446" s="256"/>
      <c r="B446" s="244"/>
      <c r="C446" s="252"/>
      <c r="D446" s="50"/>
      <c r="E446" s="261"/>
      <c r="H446" s="50"/>
      <c r="I446" s="50"/>
      <c r="J446" s="50"/>
    </row>
    <row r="447" spans="1:10" s="262" customFormat="1" x14ac:dyDescent="0.2">
      <c r="A447" s="256"/>
      <c r="B447" s="244"/>
      <c r="C447" s="252"/>
      <c r="D447" s="50"/>
      <c r="E447" s="261"/>
      <c r="H447" s="50"/>
      <c r="I447" s="50"/>
      <c r="J447" s="50"/>
    </row>
    <row r="448" spans="1:10" s="262" customFormat="1" x14ac:dyDescent="0.2">
      <c r="A448" s="256"/>
      <c r="B448" s="244"/>
      <c r="C448" s="252"/>
      <c r="D448" s="50"/>
      <c r="E448" s="261"/>
      <c r="H448" s="50"/>
      <c r="I448" s="50"/>
      <c r="J448" s="50"/>
    </row>
    <row r="449" spans="1:10" s="262" customFormat="1" x14ac:dyDescent="0.2">
      <c r="A449" s="256"/>
      <c r="B449" s="244"/>
      <c r="C449" s="252"/>
      <c r="D449" s="50"/>
      <c r="E449" s="261"/>
      <c r="H449" s="50"/>
      <c r="I449" s="50"/>
      <c r="J449" s="50"/>
    </row>
    <row r="450" spans="1:10" s="262" customFormat="1" x14ac:dyDescent="0.2">
      <c r="A450" s="256"/>
      <c r="B450" s="244"/>
      <c r="C450" s="252"/>
      <c r="D450" s="50"/>
      <c r="E450" s="261"/>
      <c r="H450" s="50"/>
      <c r="I450" s="50"/>
      <c r="J450" s="50"/>
    </row>
    <row r="451" spans="1:10" s="262" customFormat="1" x14ac:dyDescent="0.2">
      <c r="A451" s="256"/>
      <c r="B451" s="244"/>
      <c r="C451" s="252"/>
      <c r="D451" s="50"/>
      <c r="E451" s="261"/>
      <c r="H451" s="50"/>
      <c r="I451" s="50"/>
      <c r="J451" s="50"/>
    </row>
    <row r="452" spans="1:10" s="262" customFormat="1" x14ac:dyDescent="0.2">
      <c r="A452" s="256"/>
      <c r="B452" s="244"/>
      <c r="C452" s="252"/>
      <c r="D452" s="50"/>
      <c r="E452" s="261"/>
      <c r="H452" s="50"/>
      <c r="I452" s="50"/>
      <c r="J452" s="50"/>
    </row>
    <row r="453" spans="1:10" s="262" customFormat="1" x14ac:dyDescent="0.2">
      <c r="A453" s="256"/>
      <c r="B453" s="244"/>
      <c r="C453" s="252"/>
      <c r="D453" s="50"/>
      <c r="E453" s="261"/>
      <c r="H453" s="50"/>
      <c r="I453" s="50"/>
      <c r="J453" s="50"/>
    </row>
    <row r="454" spans="1:10" s="262" customFormat="1" x14ac:dyDescent="0.2">
      <c r="A454" s="256"/>
      <c r="B454" s="244"/>
      <c r="C454" s="252"/>
      <c r="D454" s="50"/>
      <c r="E454" s="261"/>
      <c r="H454" s="50"/>
      <c r="I454" s="50"/>
      <c r="J454" s="50"/>
    </row>
    <row r="455" spans="1:10" s="262" customFormat="1" x14ac:dyDescent="0.2">
      <c r="A455" s="256"/>
      <c r="B455" s="244"/>
      <c r="C455" s="252"/>
      <c r="D455" s="50"/>
      <c r="E455" s="261"/>
      <c r="H455" s="50"/>
      <c r="I455" s="50"/>
      <c r="J455" s="50"/>
    </row>
    <row r="456" spans="1:10" s="262" customFormat="1" x14ac:dyDescent="0.2">
      <c r="A456" s="256"/>
      <c r="B456" s="244"/>
      <c r="C456" s="252"/>
      <c r="D456" s="50"/>
      <c r="E456" s="261"/>
      <c r="H456" s="50"/>
      <c r="I456" s="50"/>
      <c r="J456" s="50"/>
    </row>
    <row r="457" spans="1:10" s="262" customFormat="1" x14ac:dyDescent="0.2">
      <c r="A457" s="256"/>
      <c r="B457" s="244"/>
      <c r="C457" s="252"/>
      <c r="D457" s="50"/>
      <c r="E457" s="261"/>
      <c r="H457" s="50"/>
      <c r="I457" s="50"/>
      <c r="J457" s="50"/>
    </row>
    <row r="458" spans="1:10" s="262" customFormat="1" x14ac:dyDescent="0.2">
      <c r="A458" s="256"/>
      <c r="B458" s="244"/>
      <c r="C458" s="252"/>
      <c r="D458" s="50"/>
      <c r="E458" s="261"/>
      <c r="H458" s="50"/>
      <c r="I458" s="50"/>
      <c r="J458" s="50"/>
    </row>
    <row r="459" spans="1:10" s="262" customFormat="1" x14ac:dyDescent="0.2">
      <c r="A459" s="256"/>
      <c r="B459" s="244"/>
      <c r="C459" s="252"/>
      <c r="D459" s="50"/>
      <c r="E459" s="261"/>
      <c r="H459" s="50"/>
      <c r="I459" s="50"/>
      <c r="J459" s="50"/>
    </row>
    <row r="460" spans="1:10" s="262" customFormat="1" x14ac:dyDescent="0.2">
      <c r="A460" s="256"/>
      <c r="B460" s="244"/>
      <c r="C460" s="252"/>
      <c r="D460" s="50"/>
      <c r="E460" s="261"/>
      <c r="H460" s="50"/>
      <c r="I460" s="50"/>
      <c r="J460" s="50"/>
    </row>
    <row r="461" spans="1:10" s="262" customFormat="1" x14ac:dyDescent="0.2">
      <c r="A461" s="256"/>
      <c r="B461" s="244"/>
      <c r="C461" s="252"/>
      <c r="D461" s="50"/>
      <c r="E461" s="261"/>
      <c r="H461" s="50"/>
      <c r="I461" s="50"/>
      <c r="J461" s="50"/>
    </row>
    <row r="462" spans="1:10" s="262" customFormat="1" x14ac:dyDescent="0.2">
      <c r="A462" s="256"/>
      <c r="B462" s="244"/>
      <c r="C462" s="252"/>
      <c r="D462" s="50"/>
      <c r="E462" s="261"/>
      <c r="H462" s="50"/>
      <c r="I462" s="50"/>
      <c r="J462" s="50"/>
    </row>
    <row r="463" spans="1:10" s="262" customFormat="1" x14ac:dyDescent="0.2">
      <c r="A463" s="256"/>
      <c r="B463" s="244"/>
      <c r="C463" s="252"/>
      <c r="D463" s="50"/>
      <c r="E463" s="261"/>
      <c r="H463" s="50"/>
      <c r="I463" s="50"/>
      <c r="J463" s="50"/>
    </row>
    <row r="464" spans="1:10" s="262" customFormat="1" x14ac:dyDescent="0.2">
      <c r="A464" s="256"/>
      <c r="B464" s="244"/>
      <c r="C464" s="252"/>
      <c r="D464" s="50"/>
      <c r="E464" s="261"/>
      <c r="H464" s="50"/>
      <c r="I464" s="50"/>
      <c r="J464" s="50"/>
    </row>
    <row r="465" spans="1:10" s="262" customFormat="1" x14ac:dyDescent="0.2">
      <c r="A465" s="256"/>
      <c r="B465" s="244"/>
      <c r="C465" s="252"/>
      <c r="D465" s="50"/>
      <c r="E465" s="261"/>
      <c r="H465" s="50"/>
      <c r="I465" s="50"/>
      <c r="J465" s="50"/>
    </row>
    <row r="466" spans="1:10" s="262" customFormat="1" x14ac:dyDescent="0.2">
      <c r="A466" s="256"/>
      <c r="B466" s="244"/>
      <c r="C466" s="252"/>
      <c r="D466" s="50"/>
      <c r="E466" s="261"/>
      <c r="H466" s="50"/>
      <c r="I466" s="50"/>
      <c r="J466" s="50"/>
    </row>
    <row r="467" spans="1:10" s="262" customFormat="1" x14ac:dyDescent="0.2">
      <c r="A467" s="256"/>
      <c r="B467" s="244"/>
      <c r="C467" s="252"/>
      <c r="D467" s="50"/>
      <c r="E467" s="261"/>
      <c r="H467" s="50"/>
      <c r="I467" s="50"/>
      <c r="J467" s="50"/>
    </row>
    <row r="468" spans="1:10" s="262" customFormat="1" x14ac:dyDescent="0.2">
      <c r="A468" s="256"/>
      <c r="B468" s="244"/>
      <c r="C468" s="252"/>
      <c r="D468" s="50"/>
      <c r="E468" s="261"/>
      <c r="H468" s="50"/>
      <c r="I468" s="50"/>
      <c r="J468" s="50"/>
    </row>
    <row r="469" spans="1:10" s="262" customFormat="1" x14ac:dyDescent="0.2">
      <c r="A469" s="256"/>
      <c r="B469" s="244"/>
      <c r="C469" s="252"/>
      <c r="D469" s="50"/>
      <c r="E469" s="261"/>
      <c r="H469" s="50"/>
      <c r="I469" s="50"/>
      <c r="J469" s="50"/>
    </row>
    <row r="470" spans="1:10" s="262" customFormat="1" x14ac:dyDescent="0.2">
      <c r="A470" s="256"/>
      <c r="B470" s="244"/>
      <c r="C470" s="252"/>
      <c r="D470" s="50"/>
      <c r="E470" s="261"/>
      <c r="H470" s="50"/>
      <c r="I470" s="50"/>
      <c r="J470" s="50"/>
    </row>
    <row r="471" spans="1:10" s="262" customFormat="1" x14ac:dyDescent="0.2">
      <c r="A471" s="256"/>
      <c r="B471" s="244"/>
      <c r="C471" s="252"/>
      <c r="D471" s="50"/>
      <c r="E471" s="261"/>
      <c r="H471" s="50"/>
      <c r="I471" s="50"/>
      <c r="J471" s="50"/>
    </row>
    <row r="472" spans="1:10" s="262" customFormat="1" x14ac:dyDescent="0.2">
      <c r="A472" s="256"/>
      <c r="B472" s="244"/>
      <c r="C472" s="252"/>
      <c r="D472" s="50"/>
      <c r="E472" s="261"/>
      <c r="H472" s="50"/>
      <c r="I472" s="50"/>
      <c r="J472" s="50"/>
    </row>
    <row r="473" spans="1:10" s="262" customFormat="1" x14ac:dyDescent="0.2">
      <c r="A473" s="256"/>
      <c r="B473" s="244"/>
      <c r="C473" s="252"/>
      <c r="D473" s="50"/>
      <c r="E473" s="261"/>
      <c r="H473" s="50"/>
      <c r="I473" s="50"/>
      <c r="J473" s="50"/>
    </row>
    <row r="474" spans="1:10" s="262" customFormat="1" x14ac:dyDescent="0.2">
      <c r="A474" s="256"/>
      <c r="B474" s="244"/>
      <c r="C474" s="252"/>
      <c r="D474" s="50"/>
      <c r="E474" s="261"/>
      <c r="H474" s="50"/>
      <c r="I474" s="50"/>
      <c r="J474" s="50"/>
    </row>
    <row r="475" spans="1:10" s="262" customFormat="1" x14ac:dyDescent="0.2">
      <c r="A475" s="256"/>
      <c r="B475" s="244"/>
      <c r="C475" s="252"/>
      <c r="D475" s="50"/>
      <c r="E475" s="261"/>
      <c r="H475" s="50"/>
      <c r="I475" s="50"/>
      <c r="J475" s="50"/>
    </row>
    <row r="476" spans="1:10" s="262" customFormat="1" x14ac:dyDescent="0.2">
      <c r="A476" s="256"/>
      <c r="B476" s="244"/>
      <c r="C476" s="252"/>
      <c r="D476" s="50"/>
      <c r="E476" s="261"/>
      <c r="H476" s="50"/>
      <c r="I476" s="50"/>
      <c r="J476" s="50"/>
    </row>
    <row r="477" spans="1:10" s="262" customFormat="1" x14ac:dyDescent="0.2">
      <c r="A477" s="256"/>
      <c r="B477" s="244"/>
      <c r="C477" s="252"/>
      <c r="D477" s="50"/>
      <c r="E477" s="261"/>
      <c r="H477" s="50"/>
      <c r="I477" s="50"/>
      <c r="J477" s="50"/>
    </row>
    <row r="478" spans="1:10" s="262" customFormat="1" x14ac:dyDescent="0.2">
      <c r="A478" s="256"/>
      <c r="B478" s="244"/>
      <c r="C478" s="252"/>
      <c r="D478" s="50"/>
      <c r="E478" s="261"/>
      <c r="H478" s="50"/>
      <c r="I478" s="50"/>
      <c r="J478" s="50"/>
    </row>
    <row r="479" spans="1:10" s="262" customFormat="1" x14ac:dyDescent="0.2">
      <c r="A479" s="256"/>
      <c r="B479" s="244"/>
      <c r="C479" s="252"/>
      <c r="D479" s="50"/>
      <c r="E479" s="261"/>
      <c r="H479" s="50"/>
      <c r="I479" s="50"/>
      <c r="J479" s="50"/>
    </row>
    <row r="480" spans="1:10" s="262" customFormat="1" x14ac:dyDescent="0.2">
      <c r="A480" s="256"/>
      <c r="B480" s="244"/>
      <c r="C480" s="252"/>
      <c r="D480" s="50"/>
      <c r="E480" s="261"/>
      <c r="H480" s="50"/>
      <c r="I480" s="50"/>
      <c r="J480" s="50"/>
    </row>
    <row r="481" spans="1:10" s="262" customFormat="1" x14ac:dyDescent="0.2">
      <c r="A481" s="256"/>
      <c r="B481" s="244"/>
      <c r="C481" s="252"/>
      <c r="D481" s="50"/>
      <c r="E481" s="261"/>
      <c r="H481" s="50"/>
      <c r="I481" s="50"/>
      <c r="J481" s="50"/>
    </row>
    <row r="482" spans="1:10" s="262" customFormat="1" x14ac:dyDescent="0.2">
      <c r="A482" s="256"/>
      <c r="B482" s="244"/>
      <c r="C482" s="252"/>
      <c r="D482" s="50"/>
      <c r="E482" s="261"/>
      <c r="H482" s="50"/>
      <c r="I482" s="50"/>
      <c r="J482" s="50"/>
    </row>
    <row r="483" spans="1:10" s="262" customFormat="1" x14ac:dyDescent="0.2">
      <c r="A483" s="256"/>
      <c r="B483" s="244"/>
      <c r="C483" s="252"/>
      <c r="D483" s="50"/>
      <c r="E483" s="261"/>
      <c r="H483" s="50"/>
      <c r="I483" s="50"/>
      <c r="J483" s="50"/>
    </row>
    <row r="484" spans="1:10" s="262" customFormat="1" x14ac:dyDescent="0.2">
      <c r="A484" s="256"/>
      <c r="B484" s="244"/>
      <c r="C484" s="252"/>
      <c r="D484" s="50"/>
      <c r="E484" s="261"/>
      <c r="H484" s="50"/>
      <c r="I484" s="50"/>
      <c r="J484" s="50"/>
    </row>
    <row r="485" spans="1:10" s="262" customFormat="1" x14ac:dyDescent="0.2">
      <c r="A485" s="256"/>
      <c r="B485" s="244"/>
      <c r="C485" s="252"/>
      <c r="D485" s="50"/>
      <c r="E485" s="261"/>
      <c r="H485" s="50"/>
      <c r="I485" s="50"/>
      <c r="J485" s="50"/>
    </row>
    <row r="486" spans="1:10" s="262" customFormat="1" x14ac:dyDescent="0.2">
      <c r="A486" s="256"/>
      <c r="B486" s="244"/>
      <c r="C486" s="252"/>
      <c r="D486" s="50"/>
      <c r="E486" s="261"/>
      <c r="H486" s="50"/>
      <c r="I486" s="50"/>
      <c r="J486" s="50"/>
    </row>
    <row r="487" spans="1:10" s="262" customFormat="1" x14ac:dyDescent="0.2">
      <c r="A487" s="256"/>
      <c r="B487" s="244"/>
      <c r="C487" s="252"/>
      <c r="D487" s="50"/>
      <c r="E487" s="261"/>
      <c r="H487" s="50"/>
      <c r="I487" s="50"/>
      <c r="J487" s="50"/>
    </row>
    <row r="488" spans="1:10" s="262" customFormat="1" x14ac:dyDescent="0.2">
      <c r="A488" s="256"/>
      <c r="B488" s="244"/>
      <c r="C488" s="252"/>
      <c r="D488" s="50"/>
      <c r="E488" s="261"/>
      <c r="H488" s="50"/>
      <c r="I488" s="50"/>
      <c r="J488" s="50"/>
    </row>
    <row r="489" spans="1:10" s="262" customFormat="1" x14ac:dyDescent="0.2">
      <c r="A489" s="256"/>
      <c r="B489" s="244"/>
      <c r="C489" s="252"/>
      <c r="D489" s="50"/>
      <c r="E489" s="261"/>
      <c r="H489" s="50"/>
      <c r="I489" s="50"/>
      <c r="J489" s="50"/>
    </row>
    <row r="490" spans="1:10" s="262" customFormat="1" x14ac:dyDescent="0.2">
      <c r="A490" s="256"/>
      <c r="B490" s="244"/>
      <c r="C490" s="252"/>
      <c r="D490" s="50"/>
      <c r="E490" s="261"/>
      <c r="H490" s="50"/>
      <c r="I490" s="50"/>
      <c r="J490" s="50"/>
    </row>
    <row r="491" spans="1:10" s="262" customFormat="1" x14ac:dyDescent="0.2">
      <c r="A491" s="256"/>
      <c r="B491" s="244"/>
      <c r="C491" s="252"/>
      <c r="D491" s="50"/>
      <c r="E491" s="261"/>
      <c r="H491" s="50"/>
      <c r="I491" s="50"/>
      <c r="J491" s="50"/>
    </row>
    <row r="492" spans="1:10" s="262" customFormat="1" x14ac:dyDescent="0.2">
      <c r="A492" s="256"/>
      <c r="B492" s="244"/>
      <c r="C492" s="252"/>
      <c r="D492" s="50"/>
      <c r="E492" s="261"/>
      <c r="H492" s="50"/>
      <c r="I492" s="50"/>
      <c r="J492" s="50"/>
    </row>
    <row r="493" spans="1:10" s="262" customFormat="1" x14ac:dyDescent="0.2">
      <c r="A493" s="256"/>
      <c r="B493" s="244"/>
      <c r="C493" s="252"/>
      <c r="D493" s="50"/>
      <c r="E493" s="261"/>
      <c r="H493" s="50"/>
      <c r="I493" s="50"/>
      <c r="J493" s="50"/>
    </row>
    <row r="494" spans="1:10" s="262" customFormat="1" x14ac:dyDescent="0.2">
      <c r="A494" s="256"/>
      <c r="B494" s="244"/>
      <c r="C494" s="252"/>
      <c r="D494" s="50"/>
      <c r="E494" s="261"/>
      <c r="H494" s="50"/>
      <c r="I494" s="50"/>
      <c r="J494" s="50"/>
    </row>
    <row r="495" spans="1:10" s="262" customFormat="1" x14ac:dyDescent="0.2">
      <c r="A495" s="256"/>
      <c r="B495" s="244"/>
      <c r="C495" s="252"/>
      <c r="D495" s="50"/>
      <c r="E495" s="261"/>
      <c r="H495" s="50"/>
      <c r="I495" s="50"/>
      <c r="J495" s="50"/>
    </row>
    <row r="496" spans="1:10" s="262" customFormat="1" x14ac:dyDescent="0.2">
      <c r="A496" s="256"/>
      <c r="B496" s="244"/>
      <c r="C496" s="252"/>
      <c r="D496" s="50"/>
      <c r="E496" s="261"/>
      <c r="H496" s="50"/>
      <c r="I496" s="50"/>
      <c r="J496" s="50"/>
    </row>
    <row r="497" spans="1:10" s="262" customFormat="1" x14ac:dyDescent="0.2">
      <c r="A497" s="256"/>
      <c r="B497" s="244"/>
      <c r="C497" s="252"/>
      <c r="D497" s="50"/>
      <c r="E497" s="261"/>
      <c r="H497" s="50"/>
      <c r="I497" s="50"/>
      <c r="J497" s="50"/>
    </row>
    <row r="498" spans="1:10" s="262" customFormat="1" x14ac:dyDescent="0.2">
      <c r="A498" s="256"/>
      <c r="B498" s="244"/>
      <c r="C498" s="252"/>
      <c r="D498" s="50"/>
      <c r="E498" s="261"/>
      <c r="H498" s="50"/>
      <c r="I498" s="50"/>
      <c r="J498" s="50"/>
    </row>
    <row r="499" spans="1:10" s="262" customFormat="1" x14ac:dyDescent="0.2">
      <c r="A499" s="256"/>
      <c r="B499" s="244"/>
      <c r="C499" s="252"/>
      <c r="D499" s="50"/>
      <c r="E499" s="261"/>
      <c r="H499" s="50"/>
      <c r="I499" s="50"/>
      <c r="J499" s="50"/>
    </row>
    <row r="500" spans="1:10" s="262" customFormat="1" x14ac:dyDescent="0.2">
      <c r="A500" s="256"/>
      <c r="B500" s="244"/>
      <c r="C500" s="252"/>
      <c r="D500" s="50"/>
      <c r="E500" s="261"/>
      <c r="H500" s="50"/>
      <c r="I500" s="50"/>
      <c r="J500" s="50"/>
    </row>
    <row r="501" spans="1:10" s="262" customFormat="1" x14ac:dyDescent="0.2">
      <c r="A501" s="256"/>
      <c r="B501" s="244"/>
      <c r="C501" s="252"/>
      <c r="D501" s="50"/>
      <c r="E501" s="261"/>
      <c r="H501" s="50"/>
      <c r="I501" s="50"/>
      <c r="J501" s="50"/>
    </row>
    <row r="502" spans="1:10" s="262" customFormat="1" x14ac:dyDescent="0.2">
      <c r="A502" s="256"/>
      <c r="B502" s="244"/>
      <c r="C502" s="252"/>
      <c r="D502" s="50"/>
      <c r="E502" s="261"/>
      <c r="H502" s="50"/>
      <c r="I502" s="50"/>
      <c r="J502" s="50"/>
    </row>
    <row r="503" spans="1:10" s="262" customFormat="1" x14ac:dyDescent="0.2">
      <c r="A503" s="256"/>
      <c r="B503" s="244"/>
      <c r="C503" s="252"/>
      <c r="D503" s="50"/>
      <c r="E503" s="261"/>
      <c r="H503" s="50"/>
      <c r="I503" s="50"/>
      <c r="J503" s="50"/>
    </row>
    <row r="504" spans="1:10" s="262" customFormat="1" x14ac:dyDescent="0.2">
      <c r="A504" s="256"/>
      <c r="B504" s="244"/>
      <c r="C504" s="252"/>
      <c r="D504" s="50"/>
      <c r="E504" s="261"/>
      <c r="H504" s="50"/>
      <c r="I504" s="50"/>
      <c r="J504" s="50"/>
    </row>
    <row r="505" spans="1:10" s="262" customFormat="1" x14ac:dyDescent="0.2">
      <c r="A505" s="256"/>
      <c r="B505" s="244"/>
      <c r="C505" s="252"/>
      <c r="D505" s="50"/>
      <c r="E505" s="261"/>
      <c r="H505" s="50"/>
      <c r="I505" s="50"/>
      <c r="J505" s="50"/>
    </row>
    <row r="506" spans="1:10" s="262" customFormat="1" x14ac:dyDescent="0.2">
      <c r="A506" s="256"/>
      <c r="B506" s="244"/>
      <c r="C506" s="252"/>
      <c r="D506" s="50"/>
      <c r="E506" s="261"/>
      <c r="H506" s="50"/>
      <c r="I506" s="50"/>
      <c r="J506" s="50"/>
    </row>
    <row r="507" spans="1:10" s="262" customFormat="1" x14ac:dyDescent="0.2">
      <c r="A507" s="256"/>
      <c r="B507" s="244"/>
      <c r="C507" s="252"/>
      <c r="D507" s="50"/>
      <c r="E507" s="261"/>
      <c r="H507" s="50"/>
      <c r="I507" s="50"/>
      <c r="J507" s="50"/>
    </row>
    <row r="508" spans="1:10" s="262" customFormat="1" x14ac:dyDescent="0.2">
      <c r="A508" s="256"/>
      <c r="B508" s="244"/>
      <c r="C508" s="252"/>
      <c r="D508" s="50"/>
      <c r="E508" s="261"/>
      <c r="H508" s="50"/>
      <c r="I508" s="50"/>
      <c r="J508" s="50"/>
    </row>
    <row r="509" spans="1:10" s="262" customFormat="1" x14ac:dyDescent="0.2">
      <c r="A509" s="256"/>
      <c r="B509" s="244"/>
      <c r="C509" s="252"/>
      <c r="D509" s="50"/>
      <c r="E509" s="261"/>
      <c r="H509" s="50"/>
      <c r="I509" s="50"/>
      <c r="J509" s="50"/>
    </row>
    <row r="510" spans="1:10" s="262" customFormat="1" x14ac:dyDescent="0.2">
      <c r="A510" s="256"/>
      <c r="B510" s="244"/>
      <c r="C510" s="252"/>
      <c r="D510" s="50"/>
      <c r="E510" s="261"/>
      <c r="H510" s="50"/>
      <c r="I510" s="50"/>
      <c r="J510" s="50"/>
    </row>
    <row r="511" spans="1:10" s="262" customFormat="1" x14ac:dyDescent="0.2">
      <c r="A511" s="256"/>
      <c r="B511" s="244"/>
      <c r="C511" s="252"/>
      <c r="D511" s="50"/>
      <c r="E511" s="261"/>
      <c r="H511" s="50"/>
      <c r="I511" s="50"/>
      <c r="J511" s="50"/>
    </row>
    <row r="512" spans="1:10" s="262" customFormat="1" x14ac:dyDescent="0.2">
      <c r="A512" s="256"/>
      <c r="B512" s="244"/>
      <c r="C512" s="252"/>
      <c r="D512" s="50"/>
      <c r="E512" s="261"/>
      <c r="H512" s="50"/>
      <c r="I512" s="50"/>
      <c r="J512" s="50"/>
    </row>
    <row r="513" spans="1:10" s="262" customFormat="1" x14ac:dyDescent="0.2">
      <c r="A513" s="256"/>
      <c r="B513" s="244"/>
      <c r="C513" s="252"/>
      <c r="D513" s="50"/>
      <c r="E513" s="261"/>
      <c r="H513" s="50"/>
      <c r="I513" s="50"/>
      <c r="J513" s="50"/>
    </row>
    <row r="514" spans="1:10" s="262" customFormat="1" x14ac:dyDescent="0.2">
      <c r="A514" s="256"/>
      <c r="B514" s="244"/>
      <c r="C514" s="252"/>
      <c r="D514" s="50"/>
      <c r="E514" s="261"/>
      <c r="H514" s="50"/>
      <c r="I514" s="50"/>
      <c r="J514" s="50"/>
    </row>
    <row r="515" spans="1:10" s="262" customFormat="1" x14ac:dyDescent="0.2">
      <c r="A515" s="256"/>
      <c r="B515" s="244"/>
      <c r="C515" s="252"/>
      <c r="D515" s="50"/>
      <c r="E515" s="261"/>
      <c r="H515" s="50"/>
      <c r="I515" s="50"/>
      <c r="J515" s="50"/>
    </row>
    <row r="516" spans="1:10" s="262" customFormat="1" x14ac:dyDescent="0.2">
      <c r="A516" s="256"/>
      <c r="B516" s="244"/>
      <c r="C516" s="252"/>
      <c r="D516" s="50"/>
      <c r="E516" s="261"/>
      <c r="H516" s="50"/>
      <c r="I516" s="50"/>
      <c r="J516" s="50"/>
    </row>
    <row r="517" spans="1:10" s="262" customFormat="1" x14ac:dyDescent="0.2">
      <c r="A517" s="256"/>
      <c r="B517" s="244"/>
      <c r="C517" s="252"/>
      <c r="D517" s="50"/>
      <c r="E517" s="261"/>
      <c r="H517" s="50"/>
      <c r="I517" s="50"/>
      <c r="J517" s="50"/>
    </row>
    <row r="518" spans="1:10" s="262" customFormat="1" x14ac:dyDescent="0.2">
      <c r="A518" s="256"/>
      <c r="B518" s="244"/>
      <c r="C518" s="252"/>
      <c r="D518" s="50"/>
      <c r="E518" s="261"/>
      <c r="H518" s="50"/>
      <c r="I518" s="50"/>
      <c r="J518" s="50"/>
    </row>
    <row r="519" spans="1:10" s="262" customFormat="1" x14ac:dyDescent="0.2">
      <c r="A519" s="256"/>
      <c r="B519" s="244"/>
      <c r="C519" s="252"/>
      <c r="D519" s="50"/>
      <c r="E519" s="261"/>
      <c r="H519" s="50"/>
      <c r="I519" s="50"/>
      <c r="J519" s="50"/>
    </row>
    <row r="520" spans="1:10" s="262" customFormat="1" x14ac:dyDescent="0.2">
      <c r="A520" s="256"/>
      <c r="B520" s="244"/>
      <c r="C520" s="252"/>
      <c r="D520" s="50"/>
      <c r="E520" s="261"/>
      <c r="H520" s="50"/>
      <c r="I520" s="50"/>
      <c r="J520" s="50"/>
    </row>
    <row r="521" spans="1:10" s="262" customFormat="1" x14ac:dyDescent="0.2">
      <c r="A521" s="256"/>
      <c r="B521" s="244"/>
      <c r="C521" s="252"/>
      <c r="D521" s="50"/>
      <c r="E521" s="261"/>
      <c r="H521" s="50"/>
      <c r="I521" s="50"/>
      <c r="J521" s="50"/>
    </row>
    <row r="522" spans="1:10" s="262" customFormat="1" x14ac:dyDescent="0.2">
      <c r="A522" s="256"/>
      <c r="B522" s="244"/>
      <c r="C522" s="252"/>
      <c r="D522" s="50"/>
      <c r="E522" s="261"/>
      <c r="H522" s="50"/>
      <c r="I522" s="50"/>
      <c r="J522" s="50"/>
    </row>
    <row r="523" spans="1:10" s="262" customFormat="1" x14ac:dyDescent="0.2">
      <c r="A523" s="256"/>
      <c r="B523" s="244"/>
      <c r="C523" s="252"/>
      <c r="D523" s="50"/>
      <c r="E523" s="261"/>
      <c r="H523" s="50"/>
      <c r="I523" s="50"/>
      <c r="J523" s="50"/>
    </row>
    <row r="524" spans="1:10" s="262" customFormat="1" x14ac:dyDescent="0.2">
      <c r="A524" s="256"/>
      <c r="B524" s="244"/>
      <c r="C524" s="252"/>
      <c r="D524" s="50"/>
      <c r="E524" s="261"/>
      <c r="H524" s="50"/>
      <c r="I524" s="50"/>
      <c r="J524" s="50"/>
    </row>
    <row r="525" spans="1:10" s="262" customFormat="1" x14ac:dyDescent="0.2">
      <c r="A525" s="256"/>
      <c r="B525" s="244"/>
      <c r="C525" s="252"/>
      <c r="D525" s="50"/>
      <c r="E525" s="261"/>
      <c r="H525" s="50"/>
      <c r="I525" s="50"/>
      <c r="J525" s="50"/>
    </row>
    <row r="526" spans="1:10" s="262" customFormat="1" x14ac:dyDescent="0.2">
      <c r="A526" s="256"/>
      <c r="B526" s="244"/>
      <c r="C526" s="252"/>
      <c r="D526" s="50"/>
      <c r="E526" s="261"/>
      <c r="H526" s="50"/>
      <c r="I526" s="50"/>
      <c r="J526" s="50"/>
    </row>
    <row r="527" spans="1:10" s="262" customFormat="1" x14ac:dyDescent="0.2">
      <c r="A527" s="256"/>
      <c r="B527" s="244"/>
      <c r="C527" s="252"/>
      <c r="D527" s="50"/>
      <c r="E527" s="261"/>
      <c r="H527" s="50"/>
      <c r="I527" s="50"/>
      <c r="J527" s="50"/>
    </row>
    <row r="528" spans="1:10" s="262" customFormat="1" x14ac:dyDescent="0.2">
      <c r="A528" s="256"/>
      <c r="B528" s="244"/>
      <c r="C528" s="252"/>
      <c r="D528" s="50"/>
      <c r="E528" s="261"/>
      <c r="H528" s="50"/>
      <c r="I528" s="50"/>
      <c r="J528" s="50"/>
    </row>
    <row r="529" spans="1:10" s="262" customFormat="1" x14ac:dyDescent="0.2">
      <c r="A529" s="256"/>
      <c r="B529" s="244"/>
      <c r="C529" s="252"/>
      <c r="D529" s="50"/>
      <c r="E529" s="261"/>
      <c r="H529" s="50"/>
      <c r="I529" s="50"/>
      <c r="J529" s="50"/>
    </row>
    <row r="530" spans="1:10" s="262" customFormat="1" x14ac:dyDescent="0.2">
      <c r="A530" s="256"/>
      <c r="B530" s="244"/>
      <c r="C530" s="252"/>
      <c r="D530" s="50"/>
      <c r="E530" s="261"/>
      <c r="H530" s="50"/>
      <c r="I530" s="50"/>
      <c r="J530" s="50"/>
    </row>
    <row r="531" spans="1:10" s="262" customFormat="1" x14ac:dyDescent="0.2">
      <c r="A531" s="256"/>
      <c r="B531" s="244"/>
      <c r="C531" s="252"/>
      <c r="D531" s="50"/>
      <c r="E531" s="261"/>
      <c r="H531" s="50"/>
      <c r="I531" s="50"/>
      <c r="J531" s="50"/>
    </row>
    <row r="532" spans="1:10" s="262" customFormat="1" x14ac:dyDescent="0.2">
      <c r="A532" s="256"/>
      <c r="B532" s="244"/>
      <c r="C532" s="252"/>
      <c r="D532" s="50"/>
      <c r="E532" s="261"/>
      <c r="H532" s="50"/>
      <c r="I532" s="50"/>
      <c r="J532" s="50"/>
    </row>
    <row r="533" spans="1:10" s="262" customFormat="1" x14ac:dyDescent="0.2">
      <c r="A533" s="256"/>
      <c r="B533" s="244"/>
      <c r="C533" s="252"/>
      <c r="D533" s="50"/>
      <c r="E533" s="261"/>
      <c r="H533" s="50"/>
      <c r="I533" s="50"/>
      <c r="J533" s="50"/>
    </row>
    <row r="534" spans="1:10" s="262" customFormat="1" x14ac:dyDescent="0.2">
      <c r="A534" s="256"/>
      <c r="B534" s="244"/>
      <c r="C534" s="252"/>
      <c r="D534" s="50"/>
      <c r="E534" s="261"/>
      <c r="H534" s="50"/>
      <c r="I534" s="50"/>
      <c r="J534" s="50"/>
    </row>
    <row r="535" spans="1:10" s="262" customFormat="1" x14ac:dyDescent="0.2">
      <c r="A535" s="256"/>
      <c r="B535" s="244"/>
      <c r="C535" s="252"/>
      <c r="D535" s="50"/>
      <c r="E535" s="261"/>
      <c r="H535" s="50"/>
      <c r="I535" s="50"/>
      <c r="J535" s="50"/>
    </row>
    <row r="536" spans="1:10" s="262" customFormat="1" x14ac:dyDescent="0.2">
      <c r="A536" s="256"/>
      <c r="B536" s="244"/>
      <c r="C536" s="252"/>
      <c r="D536" s="50"/>
      <c r="E536" s="261"/>
      <c r="H536" s="50"/>
      <c r="I536" s="50"/>
      <c r="J536" s="50"/>
    </row>
    <row r="537" spans="1:10" s="262" customFormat="1" x14ac:dyDescent="0.2">
      <c r="A537" s="256"/>
      <c r="B537" s="244"/>
      <c r="C537" s="252"/>
      <c r="D537" s="50"/>
      <c r="E537" s="261"/>
      <c r="H537" s="50"/>
      <c r="I537" s="50"/>
      <c r="J537" s="50"/>
    </row>
    <row r="538" spans="1:10" s="262" customFormat="1" x14ac:dyDescent="0.2">
      <c r="A538" s="256"/>
      <c r="B538" s="244"/>
      <c r="C538" s="252"/>
      <c r="D538" s="50"/>
      <c r="E538" s="261"/>
      <c r="H538" s="50"/>
      <c r="I538" s="50"/>
      <c r="J538" s="50"/>
    </row>
    <row r="539" spans="1:10" s="262" customFormat="1" x14ac:dyDescent="0.2">
      <c r="A539" s="256"/>
      <c r="B539" s="244"/>
      <c r="C539" s="252"/>
      <c r="D539" s="50"/>
      <c r="E539" s="261"/>
      <c r="H539" s="50"/>
      <c r="I539" s="50"/>
      <c r="J539" s="50"/>
    </row>
    <row r="540" spans="1:10" s="262" customFormat="1" x14ac:dyDescent="0.2">
      <c r="A540" s="256"/>
      <c r="B540" s="244"/>
      <c r="C540" s="252"/>
      <c r="D540" s="50"/>
      <c r="E540" s="261"/>
      <c r="H540" s="50"/>
      <c r="I540" s="50"/>
      <c r="J540" s="50"/>
    </row>
    <row r="541" spans="1:10" s="262" customFormat="1" x14ac:dyDescent="0.2">
      <c r="A541" s="256"/>
      <c r="B541" s="244"/>
      <c r="C541" s="252"/>
      <c r="D541" s="50"/>
      <c r="E541" s="261"/>
      <c r="H541" s="50"/>
      <c r="I541" s="50"/>
      <c r="J541" s="50"/>
    </row>
    <row r="542" spans="1:10" s="262" customFormat="1" x14ac:dyDescent="0.2">
      <c r="A542" s="256"/>
      <c r="B542" s="244"/>
      <c r="C542" s="252"/>
      <c r="D542" s="50"/>
      <c r="E542" s="261"/>
      <c r="H542" s="50"/>
      <c r="I542" s="50"/>
      <c r="J542" s="50"/>
    </row>
    <row r="543" spans="1:10" s="262" customFormat="1" x14ac:dyDescent="0.2">
      <c r="A543" s="256"/>
      <c r="B543" s="244"/>
      <c r="C543" s="252"/>
      <c r="D543" s="50"/>
      <c r="E543" s="261"/>
      <c r="H543" s="50"/>
      <c r="I543" s="50"/>
      <c r="J543" s="50"/>
    </row>
    <row r="544" spans="1:10" s="262" customFormat="1" x14ac:dyDescent="0.2">
      <c r="A544" s="256"/>
      <c r="B544" s="244"/>
      <c r="C544" s="252"/>
      <c r="D544" s="50"/>
      <c r="E544" s="261"/>
      <c r="H544" s="50"/>
      <c r="I544" s="50"/>
      <c r="J544" s="50"/>
    </row>
    <row r="545" spans="1:10" s="262" customFormat="1" x14ac:dyDescent="0.2">
      <c r="A545" s="256"/>
      <c r="B545" s="244"/>
      <c r="C545" s="252"/>
      <c r="D545" s="50"/>
      <c r="E545" s="261"/>
      <c r="H545" s="50"/>
      <c r="I545" s="50"/>
      <c r="J545" s="50"/>
    </row>
    <row r="546" spans="1:10" s="262" customFormat="1" x14ac:dyDescent="0.2">
      <c r="A546" s="256"/>
      <c r="B546" s="244"/>
      <c r="C546" s="252"/>
      <c r="D546" s="50"/>
      <c r="E546" s="261"/>
      <c r="H546" s="50"/>
      <c r="I546" s="50"/>
      <c r="J546" s="50"/>
    </row>
    <row r="547" spans="1:10" s="262" customFormat="1" x14ac:dyDescent="0.2">
      <c r="A547" s="256"/>
      <c r="B547" s="244"/>
      <c r="C547" s="252"/>
      <c r="D547" s="50"/>
      <c r="E547" s="261"/>
      <c r="H547" s="50"/>
      <c r="I547" s="50"/>
      <c r="J547" s="50"/>
    </row>
    <row r="548" spans="1:10" s="262" customFormat="1" x14ac:dyDescent="0.2">
      <c r="A548" s="256"/>
      <c r="B548" s="244"/>
      <c r="C548" s="252"/>
      <c r="D548" s="50"/>
      <c r="E548" s="261"/>
      <c r="H548" s="50"/>
      <c r="I548" s="50"/>
      <c r="J548" s="50"/>
    </row>
    <row r="549" spans="1:10" s="262" customFormat="1" x14ac:dyDescent="0.2">
      <c r="A549" s="256"/>
      <c r="B549" s="244"/>
      <c r="C549" s="252"/>
      <c r="D549" s="50"/>
      <c r="E549" s="261"/>
      <c r="H549" s="50"/>
      <c r="I549" s="50"/>
      <c r="J549" s="50"/>
    </row>
    <row r="550" spans="1:10" s="262" customFormat="1" x14ac:dyDescent="0.2">
      <c r="A550" s="256"/>
      <c r="B550" s="244"/>
      <c r="C550" s="252"/>
      <c r="D550" s="50"/>
      <c r="E550" s="261"/>
      <c r="H550" s="50"/>
      <c r="I550" s="50"/>
      <c r="J550" s="50"/>
    </row>
    <row r="551" spans="1:10" s="262" customFormat="1" x14ac:dyDescent="0.2">
      <c r="A551" s="256"/>
      <c r="B551" s="244"/>
      <c r="C551" s="252"/>
      <c r="D551" s="50"/>
      <c r="E551" s="261"/>
      <c r="H551" s="50"/>
      <c r="I551" s="50"/>
      <c r="J551" s="50"/>
    </row>
    <row r="552" spans="1:10" s="262" customFormat="1" x14ac:dyDescent="0.2">
      <c r="A552" s="256"/>
      <c r="B552" s="244"/>
      <c r="C552" s="252"/>
      <c r="D552" s="50"/>
      <c r="E552" s="261"/>
      <c r="H552" s="50"/>
      <c r="I552" s="50"/>
      <c r="J552" s="50"/>
    </row>
    <row r="553" spans="1:10" s="262" customFormat="1" x14ac:dyDescent="0.2">
      <c r="A553" s="256"/>
      <c r="B553" s="244"/>
      <c r="C553" s="252"/>
      <c r="D553" s="50"/>
      <c r="E553" s="261"/>
      <c r="H553" s="50"/>
      <c r="I553" s="50"/>
      <c r="J553" s="50"/>
    </row>
    <row r="554" spans="1:10" s="262" customFormat="1" x14ac:dyDescent="0.2">
      <c r="A554" s="256"/>
      <c r="B554" s="244"/>
      <c r="C554" s="252"/>
      <c r="D554" s="50"/>
      <c r="E554" s="261"/>
      <c r="H554" s="50"/>
      <c r="I554" s="50"/>
      <c r="J554" s="50"/>
    </row>
    <row r="555" spans="1:10" s="262" customFormat="1" x14ac:dyDescent="0.2">
      <c r="A555" s="256"/>
      <c r="B555" s="244"/>
      <c r="C555" s="252"/>
      <c r="D555" s="50"/>
      <c r="E555" s="261"/>
      <c r="H555" s="50"/>
      <c r="I555" s="50"/>
      <c r="J555" s="50"/>
    </row>
    <row r="556" spans="1:10" s="262" customFormat="1" x14ac:dyDescent="0.2">
      <c r="A556" s="256"/>
      <c r="B556" s="244"/>
      <c r="C556" s="252"/>
      <c r="D556" s="50"/>
      <c r="E556" s="261"/>
      <c r="H556" s="50"/>
      <c r="I556" s="50"/>
      <c r="J556" s="50"/>
    </row>
    <row r="557" spans="1:10" s="262" customFormat="1" x14ac:dyDescent="0.2">
      <c r="A557" s="256"/>
      <c r="B557" s="244"/>
      <c r="C557" s="252"/>
      <c r="D557" s="50"/>
      <c r="E557" s="261"/>
      <c r="H557" s="50"/>
      <c r="I557" s="50"/>
      <c r="J557" s="50"/>
    </row>
    <row r="558" spans="1:10" s="262" customFormat="1" x14ac:dyDescent="0.2">
      <c r="A558" s="256"/>
      <c r="B558" s="244"/>
      <c r="C558" s="252"/>
      <c r="D558" s="50"/>
      <c r="E558" s="261"/>
      <c r="H558" s="50"/>
      <c r="I558" s="50"/>
      <c r="J558" s="50"/>
    </row>
    <row r="559" spans="1:10" s="262" customFormat="1" x14ac:dyDescent="0.2">
      <c r="A559" s="256"/>
      <c r="B559" s="244"/>
      <c r="C559" s="252"/>
      <c r="D559" s="50"/>
      <c r="E559" s="261"/>
      <c r="H559" s="50"/>
      <c r="I559" s="50"/>
      <c r="J559" s="50"/>
    </row>
    <row r="560" spans="1:10" s="262" customFormat="1" x14ac:dyDescent="0.2">
      <c r="A560" s="256"/>
      <c r="B560" s="244"/>
      <c r="C560" s="252"/>
      <c r="D560" s="50"/>
      <c r="E560" s="261"/>
      <c r="H560" s="50"/>
      <c r="I560" s="50"/>
      <c r="J560" s="50"/>
    </row>
    <row r="561" spans="1:10" s="262" customFormat="1" x14ac:dyDescent="0.2">
      <c r="A561" s="256"/>
      <c r="B561" s="244"/>
      <c r="C561" s="252"/>
      <c r="D561" s="50"/>
      <c r="E561" s="261"/>
      <c r="H561" s="50"/>
      <c r="I561" s="50"/>
      <c r="J561" s="50"/>
    </row>
    <row r="562" spans="1:10" s="262" customFormat="1" x14ac:dyDescent="0.2">
      <c r="A562" s="256"/>
      <c r="B562" s="244"/>
      <c r="C562" s="252"/>
      <c r="D562" s="50"/>
      <c r="E562" s="261"/>
      <c r="H562" s="50"/>
      <c r="I562" s="50"/>
      <c r="J562" s="50"/>
    </row>
    <row r="563" spans="1:10" s="262" customFormat="1" x14ac:dyDescent="0.2">
      <c r="A563" s="256"/>
      <c r="B563" s="244"/>
      <c r="C563" s="252"/>
      <c r="D563" s="50"/>
      <c r="E563" s="261"/>
      <c r="H563" s="50"/>
      <c r="I563" s="50"/>
      <c r="J563" s="50"/>
    </row>
    <row r="564" spans="1:10" s="262" customFormat="1" x14ac:dyDescent="0.2">
      <c r="A564" s="256"/>
      <c r="B564" s="244"/>
      <c r="C564" s="252"/>
      <c r="D564" s="50"/>
      <c r="E564" s="261"/>
      <c r="H564" s="50"/>
      <c r="I564" s="50"/>
      <c r="J564" s="50"/>
    </row>
    <row r="565" spans="1:10" s="262" customFormat="1" x14ac:dyDescent="0.2">
      <c r="A565" s="256"/>
      <c r="B565" s="244"/>
      <c r="C565" s="252"/>
      <c r="D565" s="50"/>
      <c r="E565" s="261"/>
      <c r="H565" s="50"/>
      <c r="I565" s="50"/>
      <c r="J565" s="50"/>
    </row>
    <row r="566" spans="1:10" s="262" customFormat="1" x14ac:dyDescent="0.2">
      <c r="A566" s="256"/>
      <c r="B566" s="244"/>
      <c r="C566" s="252"/>
      <c r="D566" s="50"/>
      <c r="E566" s="261"/>
      <c r="H566" s="50"/>
      <c r="I566" s="50"/>
      <c r="J566" s="50"/>
    </row>
    <row r="567" spans="1:10" s="262" customFormat="1" x14ac:dyDescent="0.2">
      <c r="A567" s="256"/>
      <c r="B567" s="244"/>
      <c r="C567" s="252"/>
      <c r="D567" s="50"/>
      <c r="E567" s="261"/>
      <c r="H567" s="50"/>
      <c r="I567" s="50"/>
      <c r="J567" s="50"/>
    </row>
    <row r="568" spans="1:10" s="262" customFormat="1" x14ac:dyDescent="0.2">
      <c r="A568" s="256"/>
      <c r="B568" s="244"/>
      <c r="C568" s="252"/>
      <c r="D568" s="50"/>
      <c r="E568" s="261"/>
      <c r="H568" s="50"/>
      <c r="I568" s="50"/>
      <c r="J568" s="50"/>
    </row>
    <row r="569" spans="1:10" s="262" customFormat="1" x14ac:dyDescent="0.2">
      <c r="A569" s="256"/>
      <c r="B569" s="244"/>
      <c r="C569" s="252"/>
      <c r="D569" s="50"/>
      <c r="E569" s="261"/>
      <c r="H569" s="50"/>
      <c r="I569" s="50"/>
      <c r="J569" s="50"/>
    </row>
    <row r="570" spans="1:10" s="262" customFormat="1" x14ac:dyDescent="0.2">
      <c r="A570" s="256"/>
      <c r="B570" s="244"/>
      <c r="C570" s="252"/>
      <c r="D570" s="50"/>
      <c r="E570" s="261"/>
      <c r="H570" s="50"/>
      <c r="I570" s="50"/>
      <c r="J570" s="50"/>
    </row>
    <row r="571" spans="1:10" s="262" customFormat="1" x14ac:dyDescent="0.2">
      <c r="A571" s="256"/>
      <c r="B571" s="244"/>
      <c r="C571" s="252"/>
      <c r="D571" s="50"/>
      <c r="E571" s="261"/>
      <c r="H571" s="50"/>
      <c r="I571" s="50"/>
      <c r="J571" s="50"/>
    </row>
    <row r="572" spans="1:10" s="262" customFormat="1" x14ac:dyDescent="0.2">
      <c r="A572" s="256"/>
      <c r="B572" s="244"/>
      <c r="C572" s="252"/>
      <c r="D572" s="50"/>
      <c r="E572" s="261"/>
      <c r="H572" s="50"/>
      <c r="I572" s="50"/>
      <c r="J572" s="50"/>
    </row>
    <row r="573" spans="1:10" s="262" customFormat="1" x14ac:dyDescent="0.2">
      <c r="A573" s="256"/>
      <c r="B573" s="244"/>
      <c r="C573" s="252"/>
      <c r="D573" s="50"/>
      <c r="E573" s="261"/>
      <c r="H573" s="50"/>
      <c r="I573" s="50"/>
      <c r="J573" s="50"/>
    </row>
    <row r="574" spans="1:10" s="262" customFormat="1" x14ac:dyDescent="0.2">
      <c r="A574" s="256"/>
      <c r="B574" s="244"/>
      <c r="C574" s="252"/>
      <c r="D574" s="50"/>
      <c r="E574" s="261"/>
      <c r="H574" s="50"/>
      <c r="I574" s="50"/>
      <c r="J574" s="50"/>
    </row>
    <row r="575" spans="1:10" s="262" customFormat="1" x14ac:dyDescent="0.2">
      <c r="A575" s="256"/>
      <c r="B575" s="244"/>
      <c r="C575" s="252"/>
      <c r="D575" s="50"/>
      <c r="E575" s="261"/>
      <c r="H575" s="50"/>
      <c r="I575" s="50"/>
      <c r="J575" s="50"/>
    </row>
    <row r="576" spans="1:10" s="262" customFormat="1" x14ac:dyDescent="0.2">
      <c r="A576" s="256"/>
      <c r="B576" s="244"/>
      <c r="C576" s="252"/>
      <c r="D576" s="50"/>
      <c r="E576" s="261"/>
      <c r="H576" s="50"/>
      <c r="I576" s="50"/>
      <c r="J576" s="50"/>
    </row>
    <row r="577" spans="1:10" s="262" customFormat="1" x14ac:dyDescent="0.2">
      <c r="A577" s="256"/>
      <c r="B577" s="244"/>
      <c r="C577" s="252"/>
      <c r="D577" s="50"/>
      <c r="E577" s="261"/>
      <c r="H577" s="50"/>
      <c r="I577" s="50"/>
      <c r="J577" s="50"/>
    </row>
    <row r="578" spans="1:10" s="262" customFormat="1" x14ac:dyDescent="0.2">
      <c r="A578" s="256"/>
      <c r="B578" s="244"/>
      <c r="C578" s="252"/>
      <c r="D578" s="50"/>
      <c r="E578" s="261"/>
      <c r="H578" s="50"/>
      <c r="I578" s="50"/>
      <c r="J578" s="50"/>
    </row>
    <row r="579" spans="1:10" s="262" customFormat="1" x14ac:dyDescent="0.2">
      <c r="A579" s="256"/>
      <c r="B579" s="244"/>
      <c r="C579" s="252"/>
      <c r="D579" s="50"/>
      <c r="E579" s="261"/>
      <c r="H579" s="50"/>
      <c r="I579" s="50"/>
      <c r="J579" s="50"/>
    </row>
    <row r="580" spans="1:10" s="262" customFormat="1" x14ac:dyDescent="0.2">
      <c r="A580" s="256"/>
      <c r="B580" s="244"/>
      <c r="C580" s="252"/>
      <c r="D580" s="50"/>
      <c r="E580" s="261"/>
      <c r="H580" s="50"/>
      <c r="I580" s="50"/>
      <c r="J580" s="50"/>
    </row>
    <row r="581" spans="1:10" s="262" customFormat="1" x14ac:dyDescent="0.2">
      <c r="A581" s="256"/>
      <c r="B581" s="244"/>
      <c r="C581" s="252"/>
      <c r="D581" s="50"/>
      <c r="E581" s="261"/>
      <c r="H581" s="50"/>
      <c r="I581" s="50"/>
      <c r="J581" s="50"/>
    </row>
    <row r="582" spans="1:10" s="262" customFormat="1" x14ac:dyDescent="0.2">
      <c r="A582" s="256"/>
      <c r="B582" s="244"/>
      <c r="C582" s="252"/>
      <c r="D582" s="50"/>
      <c r="E582" s="261"/>
      <c r="H582" s="50"/>
      <c r="I582" s="50"/>
      <c r="J582" s="50"/>
    </row>
    <row r="583" spans="1:10" s="262" customFormat="1" x14ac:dyDescent="0.2">
      <c r="A583" s="256"/>
      <c r="B583" s="244"/>
      <c r="C583" s="252"/>
      <c r="D583" s="50"/>
      <c r="E583" s="261"/>
      <c r="H583" s="50"/>
      <c r="I583" s="50"/>
      <c r="J583" s="50"/>
    </row>
    <row r="584" spans="1:10" s="262" customFormat="1" x14ac:dyDescent="0.2">
      <c r="A584" s="256"/>
      <c r="B584" s="244"/>
      <c r="C584" s="252"/>
      <c r="D584" s="50"/>
      <c r="E584" s="261"/>
      <c r="H584" s="50"/>
      <c r="I584" s="50"/>
      <c r="J584" s="50"/>
    </row>
    <row r="585" spans="1:10" s="262" customFormat="1" x14ac:dyDescent="0.2">
      <c r="A585" s="256"/>
      <c r="B585" s="244"/>
      <c r="C585" s="252"/>
      <c r="D585" s="50"/>
      <c r="E585" s="261"/>
      <c r="H585" s="50"/>
      <c r="I585" s="50"/>
      <c r="J585" s="50"/>
    </row>
    <row r="586" spans="1:10" s="262" customFormat="1" x14ac:dyDescent="0.2">
      <c r="A586" s="256"/>
      <c r="B586" s="244"/>
      <c r="C586" s="252"/>
      <c r="D586" s="50"/>
      <c r="E586" s="261"/>
      <c r="H586" s="50"/>
      <c r="I586" s="50"/>
      <c r="J586" s="50"/>
    </row>
    <row r="587" spans="1:10" s="262" customFormat="1" x14ac:dyDescent="0.2">
      <c r="A587" s="256"/>
      <c r="B587" s="244"/>
      <c r="C587" s="252"/>
      <c r="D587" s="50"/>
      <c r="E587" s="261"/>
      <c r="H587" s="50"/>
      <c r="I587" s="50"/>
      <c r="J587" s="50"/>
    </row>
    <row r="588" spans="1:10" s="262" customFormat="1" x14ac:dyDescent="0.2">
      <c r="A588" s="256"/>
      <c r="B588" s="244"/>
      <c r="C588" s="252"/>
      <c r="D588" s="50"/>
      <c r="E588" s="261"/>
      <c r="H588" s="50"/>
      <c r="I588" s="50"/>
      <c r="J588" s="50"/>
    </row>
    <row r="589" spans="1:10" s="262" customFormat="1" x14ac:dyDescent="0.2">
      <c r="A589" s="256"/>
      <c r="B589" s="244"/>
      <c r="C589" s="252"/>
      <c r="D589" s="50"/>
      <c r="E589" s="261"/>
      <c r="H589" s="50"/>
      <c r="I589" s="50"/>
      <c r="J589" s="50"/>
    </row>
    <row r="590" spans="1:10" s="262" customFormat="1" x14ac:dyDescent="0.2">
      <c r="A590" s="256"/>
      <c r="B590" s="244"/>
      <c r="C590" s="252"/>
      <c r="D590" s="50"/>
      <c r="E590" s="261"/>
      <c r="H590" s="50"/>
      <c r="I590" s="50"/>
      <c r="J590" s="50"/>
    </row>
    <row r="591" spans="1:10" s="262" customFormat="1" x14ac:dyDescent="0.2">
      <c r="A591" s="256"/>
      <c r="B591" s="244"/>
      <c r="C591" s="252"/>
      <c r="D591" s="50"/>
      <c r="E591" s="261"/>
      <c r="H591" s="50"/>
      <c r="I591" s="50"/>
      <c r="J591" s="50"/>
    </row>
    <row r="592" spans="1:10" s="262" customFormat="1" x14ac:dyDescent="0.2">
      <c r="A592" s="256"/>
      <c r="B592" s="244"/>
      <c r="C592" s="252"/>
      <c r="D592" s="50"/>
      <c r="E592" s="261"/>
      <c r="H592" s="50"/>
      <c r="I592" s="50"/>
      <c r="J592" s="50"/>
    </row>
    <row r="593" spans="1:10" s="262" customFormat="1" x14ac:dyDescent="0.2">
      <c r="A593" s="256"/>
      <c r="B593" s="244"/>
      <c r="C593" s="252"/>
      <c r="D593" s="50"/>
      <c r="E593" s="261"/>
      <c r="H593" s="50"/>
      <c r="I593" s="50"/>
      <c r="J593" s="50"/>
    </row>
    <row r="594" spans="1:10" s="262" customFormat="1" x14ac:dyDescent="0.2">
      <c r="A594" s="256"/>
      <c r="B594" s="244"/>
      <c r="C594" s="252"/>
      <c r="D594" s="50"/>
      <c r="E594" s="261"/>
      <c r="H594" s="50"/>
      <c r="I594" s="50"/>
      <c r="J594" s="50"/>
    </row>
    <row r="595" spans="1:10" s="262" customFormat="1" x14ac:dyDescent="0.2">
      <c r="A595" s="256"/>
      <c r="B595" s="244"/>
      <c r="C595" s="252"/>
      <c r="D595" s="50"/>
      <c r="E595" s="261"/>
      <c r="H595" s="50"/>
      <c r="I595" s="50"/>
      <c r="J595" s="50"/>
    </row>
    <row r="596" spans="1:10" s="262" customFormat="1" x14ac:dyDescent="0.2">
      <c r="A596" s="256"/>
      <c r="B596" s="244"/>
      <c r="C596" s="252"/>
      <c r="D596" s="50"/>
      <c r="E596" s="261"/>
      <c r="H596" s="50"/>
      <c r="I596" s="50"/>
      <c r="J596" s="50"/>
    </row>
    <row r="597" spans="1:10" s="262" customFormat="1" x14ac:dyDescent="0.2">
      <c r="A597" s="256"/>
      <c r="B597" s="244"/>
      <c r="C597" s="252"/>
      <c r="D597" s="50"/>
      <c r="E597" s="261"/>
      <c r="H597" s="50"/>
      <c r="I597" s="50"/>
      <c r="J597" s="50"/>
    </row>
    <row r="598" spans="1:10" s="262" customFormat="1" x14ac:dyDescent="0.2">
      <c r="A598" s="256"/>
      <c r="B598" s="244"/>
      <c r="C598" s="252"/>
      <c r="D598" s="50"/>
      <c r="E598" s="261"/>
      <c r="H598" s="50"/>
      <c r="I598" s="50"/>
      <c r="J598" s="50"/>
    </row>
    <row r="599" spans="1:10" s="262" customFormat="1" x14ac:dyDescent="0.2">
      <c r="A599" s="256"/>
      <c r="B599" s="244"/>
      <c r="C599" s="252"/>
      <c r="D599" s="50"/>
      <c r="E599" s="261"/>
      <c r="H599" s="50"/>
      <c r="I599" s="50"/>
      <c r="J599" s="50"/>
    </row>
    <row r="600" spans="1:10" s="262" customFormat="1" x14ac:dyDescent="0.2">
      <c r="A600" s="256"/>
      <c r="B600" s="244"/>
      <c r="C600" s="252"/>
      <c r="D600" s="50"/>
      <c r="E600" s="261"/>
      <c r="H600" s="50"/>
      <c r="I600" s="50"/>
      <c r="J600" s="50"/>
    </row>
    <row r="601" spans="1:10" s="262" customFormat="1" x14ac:dyDescent="0.2">
      <c r="A601" s="256"/>
      <c r="B601" s="244"/>
      <c r="C601" s="252"/>
      <c r="D601" s="50"/>
      <c r="E601" s="261"/>
      <c r="H601" s="50"/>
      <c r="I601" s="50"/>
      <c r="J601" s="50"/>
    </row>
    <row r="602" spans="1:10" s="262" customFormat="1" x14ac:dyDescent="0.2">
      <c r="A602" s="256"/>
      <c r="B602" s="244"/>
      <c r="C602" s="252"/>
      <c r="D602" s="50"/>
      <c r="E602" s="261"/>
      <c r="H602" s="50"/>
      <c r="I602" s="50"/>
      <c r="J602" s="50"/>
    </row>
    <row r="603" spans="1:10" s="262" customFormat="1" x14ac:dyDescent="0.2">
      <c r="A603" s="256"/>
      <c r="B603" s="244"/>
      <c r="C603" s="252"/>
      <c r="D603" s="50"/>
      <c r="E603" s="261"/>
      <c r="H603" s="50"/>
      <c r="I603" s="50"/>
      <c r="J603" s="50"/>
    </row>
    <row r="604" spans="1:10" s="262" customFormat="1" x14ac:dyDescent="0.2">
      <c r="A604" s="256"/>
      <c r="B604" s="244"/>
      <c r="C604" s="252"/>
      <c r="D604" s="50"/>
      <c r="E604" s="261"/>
      <c r="H604" s="50"/>
      <c r="I604" s="50"/>
      <c r="J604" s="50"/>
    </row>
    <row r="605" spans="1:10" s="262" customFormat="1" x14ac:dyDescent="0.2">
      <c r="A605" s="256"/>
      <c r="B605" s="244"/>
      <c r="C605" s="252"/>
      <c r="D605" s="50"/>
      <c r="E605" s="261"/>
      <c r="H605" s="50"/>
      <c r="I605" s="50"/>
      <c r="J605" s="50"/>
    </row>
    <row r="606" spans="1:10" s="262" customFormat="1" x14ac:dyDescent="0.2">
      <c r="A606" s="256"/>
      <c r="B606" s="244"/>
      <c r="C606" s="252"/>
      <c r="D606" s="50"/>
      <c r="E606" s="261"/>
      <c r="H606" s="50"/>
      <c r="I606" s="50"/>
      <c r="J606" s="50"/>
    </row>
    <row r="607" spans="1:10" s="262" customFormat="1" x14ac:dyDescent="0.2">
      <c r="A607" s="256"/>
      <c r="B607" s="244"/>
      <c r="C607" s="252"/>
      <c r="D607" s="50"/>
      <c r="E607" s="261"/>
      <c r="H607" s="50"/>
      <c r="I607" s="50"/>
      <c r="J607" s="50"/>
    </row>
    <row r="608" spans="1:10" s="262" customFormat="1" x14ac:dyDescent="0.2">
      <c r="A608" s="256"/>
      <c r="B608" s="244"/>
      <c r="C608" s="252"/>
      <c r="D608" s="50"/>
      <c r="E608" s="261"/>
      <c r="H608" s="50"/>
      <c r="I608" s="50"/>
      <c r="J608" s="50"/>
    </row>
    <row r="609" spans="1:10" s="262" customFormat="1" x14ac:dyDescent="0.2">
      <c r="A609" s="256"/>
      <c r="B609" s="244"/>
      <c r="C609" s="252"/>
      <c r="D609" s="50"/>
      <c r="E609" s="261"/>
      <c r="H609" s="50"/>
      <c r="I609" s="50"/>
      <c r="J609" s="50"/>
    </row>
    <row r="610" spans="1:10" s="262" customFormat="1" x14ac:dyDescent="0.2">
      <c r="A610" s="256"/>
      <c r="B610" s="244"/>
      <c r="C610" s="252"/>
      <c r="D610" s="50"/>
      <c r="E610" s="261"/>
      <c r="H610" s="50"/>
      <c r="I610" s="50"/>
      <c r="J610" s="50"/>
    </row>
    <row r="611" spans="1:10" s="262" customFormat="1" x14ac:dyDescent="0.2">
      <c r="A611" s="256"/>
      <c r="B611" s="244"/>
      <c r="C611" s="252"/>
      <c r="D611" s="50"/>
      <c r="E611" s="261"/>
      <c r="H611" s="50"/>
      <c r="I611" s="50"/>
      <c r="J611" s="50"/>
    </row>
    <row r="612" spans="1:10" s="262" customFormat="1" x14ac:dyDescent="0.2">
      <c r="A612" s="256"/>
      <c r="B612" s="244"/>
      <c r="C612" s="252"/>
      <c r="D612" s="50"/>
      <c r="E612" s="261"/>
      <c r="H612" s="50"/>
      <c r="I612" s="50"/>
      <c r="J612" s="50"/>
    </row>
    <row r="613" spans="1:10" s="262" customFormat="1" x14ac:dyDescent="0.2">
      <c r="A613" s="256"/>
      <c r="B613" s="244"/>
      <c r="C613" s="252"/>
      <c r="D613" s="50"/>
      <c r="E613" s="261"/>
      <c r="H613" s="50"/>
      <c r="I613" s="50"/>
      <c r="J613" s="50"/>
    </row>
    <row r="614" spans="1:10" s="262" customFormat="1" x14ac:dyDescent="0.2">
      <c r="A614" s="256"/>
      <c r="B614" s="244"/>
      <c r="C614" s="252"/>
      <c r="D614" s="50"/>
      <c r="E614" s="261"/>
      <c r="H614" s="50"/>
      <c r="I614" s="50"/>
      <c r="J614" s="50"/>
    </row>
    <row r="615" spans="1:10" s="262" customFormat="1" x14ac:dyDescent="0.2">
      <c r="A615" s="256"/>
      <c r="B615" s="244"/>
      <c r="C615" s="252"/>
      <c r="D615" s="50"/>
      <c r="E615" s="261"/>
      <c r="H615" s="50"/>
      <c r="I615" s="50"/>
      <c r="J615" s="50"/>
    </row>
    <row r="616" spans="1:10" s="262" customFormat="1" x14ac:dyDescent="0.2">
      <c r="A616" s="256"/>
      <c r="B616" s="244"/>
      <c r="C616" s="252"/>
      <c r="D616" s="50"/>
      <c r="E616" s="261"/>
      <c r="H616" s="50"/>
      <c r="I616" s="50"/>
      <c r="J616" s="50"/>
    </row>
    <row r="617" spans="1:10" s="262" customFormat="1" x14ac:dyDescent="0.2">
      <c r="A617" s="256"/>
      <c r="B617" s="244"/>
      <c r="C617" s="252"/>
      <c r="D617" s="50"/>
      <c r="E617" s="261"/>
      <c r="H617" s="50"/>
      <c r="I617" s="50"/>
      <c r="J617" s="50"/>
    </row>
    <row r="618" spans="1:10" s="262" customFormat="1" x14ac:dyDescent="0.2">
      <c r="A618" s="256"/>
      <c r="B618" s="244"/>
      <c r="C618" s="252"/>
      <c r="D618" s="50"/>
      <c r="E618" s="261"/>
      <c r="H618" s="50"/>
      <c r="I618" s="50"/>
      <c r="J618" s="50"/>
    </row>
    <row r="619" spans="1:10" s="262" customFormat="1" x14ac:dyDescent="0.2">
      <c r="A619" s="256"/>
      <c r="B619" s="244"/>
      <c r="C619" s="252"/>
      <c r="D619" s="50"/>
      <c r="E619" s="261"/>
      <c r="H619" s="50"/>
      <c r="I619" s="50"/>
      <c r="J619" s="50"/>
    </row>
    <row r="620" spans="1:10" s="262" customFormat="1" x14ac:dyDescent="0.2">
      <c r="A620" s="256"/>
      <c r="B620" s="244"/>
      <c r="C620" s="252"/>
      <c r="D620" s="50"/>
      <c r="E620" s="261"/>
      <c r="H620" s="50"/>
      <c r="I620" s="50"/>
      <c r="J620" s="50"/>
    </row>
    <row r="621" spans="1:10" s="262" customFormat="1" x14ac:dyDescent="0.2">
      <c r="A621" s="256"/>
      <c r="B621" s="244"/>
      <c r="C621" s="252"/>
      <c r="D621" s="50"/>
      <c r="E621" s="261"/>
      <c r="H621" s="50"/>
      <c r="I621" s="50"/>
      <c r="J621" s="50"/>
    </row>
    <row r="622" spans="1:10" s="262" customFormat="1" x14ac:dyDescent="0.2">
      <c r="A622" s="256"/>
      <c r="B622" s="244"/>
      <c r="C622" s="252"/>
      <c r="D622" s="50"/>
      <c r="E622" s="261"/>
      <c r="H622" s="50"/>
      <c r="I622" s="50"/>
      <c r="J622" s="50"/>
    </row>
    <row r="623" spans="1:10" s="262" customFormat="1" x14ac:dyDescent="0.2">
      <c r="A623" s="256"/>
      <c r="B623" s="244"/>
      <c r="C623" s="252"/>
      <c r="D623" s="50"/>
      <c r="E623" s="261"/>
      <c r="H623" s="50"/>
      <c r="I623" s="50"/>
      <c r="J623" s="50"/>
    </row>
    <row r="624" spans="1:10" s="262" customFormat="1" x14ac:dyDescent="0.2">
      <c r="A624" s="256"/>
      <c r="B624" s="244"/>
      <c r="C624" s="252"/>
      <c r="D624" s="50"/>
      <c r="E624" s="261"/>
      <c r="H624" s="50"/>
      <c r="I624" s="50"/>
      <c r="J624" s="50"/>
    </row>
    <row r="625" spans="1:10" s="262" customFormat="1" x14ac:dyDescent="0.2">
      <c r="A625" s="256"/>
      <c r="B625" s="244"/>
      <c r="C625" s="252"/>
      <c r="D625" s="50"/>
      <c r="E625" s="261"/>
      <c r="H625" s="50"/>
      <c r="I625" s="50"/>
      <c r="J625" s="50"/>
    </row>
    <row r="626" spans="1:10" s="262" customFormat="1" x14ac:dyDescent="0.2">
      <c r="A626" s="256"/>
      <c r="B626" s="244"/>
      <c r="C626" s="252"/>
      <c r="D626" s="50"/>
      <c r="E626" s="261"/>
      <c r="H626" s="50"/>
      <c r="I626" s="50"/>
      <c r="J626" s="50"/>
    </row>
    <row r="627" spans="1:10" s="262" customFormat="1" x14ac:dyDescent="0.2">
      <c r="A627" s="256"/>
      <c r="B627" s="244"/>
      <c r="C627" s="252"/>
      <c r="D627" s="50"/>
      <c r="E627" s="261"/>
      <c r="H627" s="50"/>
      <c r="I627" s="50"/>
      <c r="J627" s="50"/>
    </row>
    <row r="628" spans="1:10" s="262" customFormat="1" x14ac:dyDescent="0.2">
      <c r="A628" s="256"/>
      <c r="B628" s="244"/>
      <c r="C628" s="252"/>
      <c r="D628" s="50"/>
      <c r="E628" s="261"/>
      <c r="H628" s="50"/>
      <c r="I628" s="50"/>
      <c r="J628" s="50"/>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1EF8-0FBE-4AA1-967A-A53BB2C10DC3}">
  <sheetPr>
    <pageSetUpPr fitToPage="1"/>
  </sheetPr>
  <dimension ref="A1:J628"/>
  <sheetViews>
    <sheetView zoomScaleNormal="100" workbookViewId="0">
      <selection activeCell="N25" sqref="N25"/>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140625" style="65" customWidth="1"/>
    <col min="10" max="10" width="6.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241</v>
      </c>
      <c r="B4" s="37"/>
      <c r="C4" s="38"/>
      <c r="D4" s="39" t="s">
        <v>244</v>
      </c>
      <c r="E4" s="40"/>
      <c r="F4" s="34"/>
      <c r="G4" s="34"/>
    </row>
    <row r="5" spans="1:10" s="35" customFormat="1" ht="15.75" x14ac:dyDescent="0.25">
      <c r="A5" s="41" t="s">
        <v>86</v>
      </c>
      <c r="B5" s="42"/>
      <c r="C5" s="43"/>
      <c r="D5" s="44" t="s">
        <v>242</v>
      </c>
      <c r="E5" s="45"/>
      <c r="F5" s="46"/>
      <c r="G5" s="47"/>
      <c r="H5" s="42"/>
    </row>
    <row r="6" spans="1:10" s="35" customFormat="1" ht="15.75" x14ac:dyDescent="0.25">
      <c r="A6" s="13" t="str">
        <f>'RECAP #9436.00'!B6</f>
        <v>Project Manager - James T.</v>
      </c>
      <c r="B6" s="11"/>
      <c r="C6" s="48"/>
      <c r="D6" s="49" t="s">
        <v>162</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186</v>
      </c>
    </row>
    <row r="9" spans="1:10" x14ac:dyDescent="0.2">
      <c r="A9" s="276" t="s">
        <v>243</v>
      </c>
      <c r="B9" s="277">
        <v>45798</v>
      </c>
      <c r="C9" s="278" t="s">
        <v>214</v>
      </c>
      <c r="D9" s="288">
        <v>116731.47</v>
      </c>
      <c r="E9" s="279">
        <f>D9</f>
        <v>116731.47</v>
      </c>
      <c r="F9" s="281"/>
      <c r="G9" s="281"/>
      <c r="H9" s="281">
        <f>E9</f>
        <v>116731.47</v>
      </c>
      <c r="I9" s="282"/>
      <c r="J9" s="282" t="s">
        <v>289</v>
      </c>
    </row>
    <row r="10" spans="1:10" x14ac:dyDescent="0.2">
      <c r="A10" s="59" t="s">
        <v>297</v>
      </c>
      <c r="B10" s="60">
        <v>45891</v>
      </c>
      <c r="C10" s="61" t="s">
        <v>291</v>
      </c>
      <c r="D10" s="204">
        <v>0</v>
      </c>
      <c r="E10" s="63">
        <f t="shared" ref="E10:E21" si="0">E9+D10</f>
        <v>116731.47</v>
      </c>
      <c r="F10" s="207"/>
      <c r="G10" s="64">
        <f t="shared" ref="G10:G21" si="1">G9+F10</f>
        <v>0</v>
      </c>
      <c r="H10" s="64">
        <f t="shared" ref="H10:H21" si="2">H9-F10+D10</f>
        <v>116731.47</v>
      </c>
    </row>
    <row r="11" spans="1:10" x14ac:dyDescent="0.2">
      <c r="A11" s="59" t="s">
        <v>353</v>
      </c>
      <c r="B11" s="60">
        <v>45957</v>
      </c>
      <c r="C11" s="61" t="s">
        <v>354</v>
      </c>
      <c r="D11" s="63"/>
      <c r="E11" s="63">
        <f t="shared" si="0"/>
        <v>116731.47</v>
      </c>
      <c r="F11" s="207">
        <v>5956.44</v>
      </c>
      <c r="G11" s="64">
        <f t="shared" si="1"/>
        <v>5956.44</v>
      </c>
      <c r="H11" s="64">
        <f t="shared" si="2"/>
        <v>110775.03</v>
      </c>
      <c r="I11" s="273">
        <v>313.5</v>
      </c>
    </row>
    <row r="12" spans="1:10" x14ac:dyDescent="0.2">
      <c r="A12" s="59"/>
      <c r="B12" s="60"/>
      <c r="C12" s="61"/>
      <c r="D12" s="204"/>
      <c r="E12" s="63">
        <f t="shared" si="0"/>
        <v>116731.47</v>
      </c>
      <c r="F12" s="67"/>
      <c r="G12" s="64">
        <f t="shared" si="1"/>
        <v>5956.44</v>
      </c>
      <c r="H12" s="64">
        <f t="shared" si="2"/>
        <v>110775.03</v>
      </c>
      <c r="I12" s="273"/>
    </row>
    <row r="13" spans="1:10" x14ac:dyDescent="0.2">
      <c r="A13" s="59"/>
      <c r="B13" s="60"/>
      <c r="C13" s="61"/>
      <c r="D13" s="63"/>
      <c r="E13" s="63">
        <f t="shared" si="0"/>
        <v>116731.47</v>
      </c>
      <c r="F13" s="207"/>
      <c r="G13" s="64">
        <f t="shared" si="1"/>
        <v>5956.44</v>
      </c>
      <c r="H13" s="64">
        <f t="shared" si="2"/>
        <v>110775.03</v>
      </c>
      <c r="I13" s="273"/>
    </row>
    <row r="14" spans="1:10" x14ac:dyDescent="0.2">
      <c r="A14" s="59"/>
      <c r="B14" s="60"/>
      <c r="C14" s="61"/>
      <c r="D14" s="63"/>
      <c r="E14" s="63">
        <f t="shared" si="0"/>
        <v>116731.47</v>
      </c>
      <c r="F14" s="207"/>
      <c r="G14" s="64">
        <f t="shared" si="1"/>
        <v>5956.44</v>
      </c>
      <c r="H14" s="64">
        <f t="shared" si="2"/>
        <v>110775.03</v>
      </c>
      <c r="I14" s="273"/>
    </row>
    <row r="15" spans="1:10" x14ac:dyDescent="0.2">
      <c r="A15" s="59"/>
      <c r="B15" s="60"/>
      <c r="C15" s="61"/>
      <c r="D15" s="63"/>
      <c r="E15" s="63">
        <f t="shared" si="0"/>
        <v>116731.47</v>
      </c>
      <c r="F15" s="207"/>
      <c r="G15" s="64">
        <f t="shared" si="1"/>
        <v>5956.44</v>
      </c>
      <c r="H15" s="64">
        <f t="shared" si="2"/>
        <v>110775.03</v>
      </c>
      <c r="I15" s="273"/>
    </row>
    <row r="16" spans="1:10" x14ac:dyDescent="0.2">
      <c r="A16" s="59"/>
      <c r="B16" s="60"/>
      <c r="C16" s="61"/>
      <c r="D16" s="63"/>
      <c r="E16" s="63">
        <f t="shared" si="0"/>
        <v>116731.47</v>
      </c>
      <c r="F16" s="67"/>
      <c r="G16" s="64">
        <f t="shared" si="1"/>
        <v>5956.44</v>
      </c>
      <c r="H16" s="64">
        <f t="shared" si="2"/>
        <v>110775.03</v>
      </c>
      <c r="I16" s="273"/>
    </row>
    <row r="17" spans="1:10" x14ac:dyDescent="0.2">
      <c r="A17" s="59"/>
      <c r="B17" s="60"/>
      <c r="C17" s="61"/>
      <c r="D17" s="63"/>
      <c r="E17" s="63">
        <f t="shared" si="0"/>
        <v>116731.47</v>
      </c>
      <c r="F17" s="67"/>
      <c r="G17" s="64">
        <f t="shared" si="1"/>
        <v>5956.44</v>
      </c>
      <c r="H17" s="64">
        <f t="shared" si="2"/>
        <v>110775.03</v>
      </c>
      <c r="I17" s="273"/>
    </row>
    <row r="18" spans="1:10" x14ac:dyDescent="0.2">
      <c r="A18" s="59"/>
      <c r="B18" s="60"/>
      <c r="C18" s="61"/>
      <c r="D18" s="63"/>
      <c r="E18" s="63">
        <f t="shared" si="0"/>
        <v>116731.47</v>
      </c>
      <c r="F18" s="67"/>
      <c r="G18" s="64">
        <f t="shared" si="1"/>
        <v>5956.44</v>
      </c>
      <c r="H18" s="64">
        <f t="shared" si="2"/>
        <v>110775.03</v>
      </c>
      <c r="I18" s="273"/>
    </row>
    <row r="19" spans="1:10" x14ac:dyDescent="0.2">
      <c r="A19" s="59"/>
      <c r="B19" s="60"/>
      <c r="C19" s="61"/>
      <c r="D19" s="63"/>
      <c r="E19" s="63">
        <f t="shared" si="0"/>
        <v>116731.47</v>
      </c>
      <c r="F19" s="64"/>
      <c r="G19" s="64">
        <f t="shared" si="1"/>
        <v>5956.44</v>
      </c>
      <c r="H19" s="64">
        <f t="shared" si="2"/>
        <v>110775.03</v>
      </c>
      <c r="I19" s="273"/>
    </row>
    <row r="20" spans="1:10" x14ac:dyDescent="0.2">
      <c r="A20" s="59"/>
      <c r="B20" s="60"/>
      <c r="C20" s="61"/>
      <c r="D20" s="63"/>
      <c r="E20" s="63">
        <f t="shared" si="0"/>
        <v>116731.47</v>
      </c>
      <c r="F20" s="64"/>
      <c r="G20" s="64">
        <f t="shared" si="1"/>
        <v>5956.44</v>
      </c>
      <c r="H20" s="64">
        <f t="shared" si="2"/>
        <v>110775.03</v>
      </c>
      <c r="I20" s="273"/>
    </row>
    <row r="21" spans="1:10" x14ac:dyDescent="0.2">
      <c r="A21" s="59"/>
      <c r="B21" s="60"/>
      <c r="C21" s="68"/>
      <c r="D21" s="63"/>
      <c r="E21" s="63">
        <f t="shared" si="0"/>
        <v>116731.47</v>
      </c>
      <c r="F21" s="64"/>
      <c r="G21" s="64">
        <f t="shared" si="1"/>
        <v>5956.44</v>
      </c>
      <c r="H21" s="64">
        <f t="shared" si="2"/>
        <v>110775.03</v>
      </c>
      <c r="I21" s="273"/>
    </row>
    <row r="22" spans="1:10" x14ac:dyDescent="0.2">
      <c r="A22" s="59"/>
      <c r="B22" s="61"/>
      <c r="C22" s="69"/>
      <c r="D22" s="64"/>
      <c r="E22" s="64"/>
      <c r="F22" s="64"/>
      <c r="G22" s="64"/>
      <c r="H22" s="64"/>
    </row>
    <row r="23" spans="1:10" ht="13.5" thickBot="1" x14ac:dyDescent="0.25">
      <c r="A23" s="59"/>
      <c r="B23" s="70"/>
      <c r="C23" s="71" t="s">
        <v>28</v>
      </c>
      <c r="D23" s="72">
        <f>SUM(D9:D22)</f>
        <v>116731.47</v>
      </c>
      <c r="E23" s="72"/>
      <c r="F23" s="72">
        <f>SUM(F9:F22)</f>
        <v>5956.44</v>
      </c>
      <c r="G23" s="72"/>
      <c r="H23" s="72">
        <f>D23-F23</f>
        <v>110775.03</v>
      </c>
      <c r="I23" s="44"/>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200"/>
      <c r="D26" s="201"/>
      <c r="E26" s="201"/>
      <c r="F26" s="201"/>
      <c r="G26" s="201"/>
      <c r="H26" s="201"/>
    </row>
    <row r="27" spans="1:10" x14ac:dyDescent="0.2">
      <c r="A27" s="73"/>
      <c r="B27" s="61"/>
      <c r="C27" s="200"/>
      <c r="D27" s="201"/>
      <c r="E27" s="201"/>
      <c r="F27" s="201"/>
      <c r="G27" s="201"/>
      <c r="H27" s="201"/>
      <c r="I27" s="202"/>
      <c r="J27" s="202"/>
    </row>
    <row r="28" spans="1:10" x14ac:dyDescent="0.2">
      <c r="A28" s="73"/>
      <c r="B28" s="61"/>
      <c r="C28" s="200"/>
      <c r="D28" s="201"/>
      <c r="E28" s="201"/>
      <c r="F28" s="201"/>
      <c r="G28" s="201"/>
      <c r="H28" s="201"/>
      <c r="I28" s="202"/>
      <c r="J28" s="202"/>
    </row>
    <row r="29" spans="1:10" x14ac:dyDescent="0.2">
      <c r="A29" s="73"/>
      <c r="B29" s="61"/>
      <c r="C29" s="264"/>
      <c r="D29" s="212"/>
      <c r="E29" s="212"/>
      <c r="F29" s="212"/>
      <c r="G29" s="212"/>
      <c r="H29" s="212"/>
      <c r="I29" s="202"/>
      <c r="J29" s="202"/>
    </row>
    <row r="30" spans="1:10" x14ac:dyDescent="0.2">
      <c r="A30" s="73"/>
      <c r="B30" s="61"/>
      <c r="C30" s="69"/>
      <c r="D30" s="64"/>
      <c r="E30" s="64"/>
      <c r="F30" s="64"/>
      <c r="G30" s="64"/>
      <c r="H30" s="64"/>
      <c r="I30" s="202"/>
      <c r="J30" s="202"/>
    </row>
    <row r="31" spans="1:10" x14ac:dyDescent="0.2">
      <c r="A31" s="73"/>
      <c r="B31" s="61"/>
      <c r="C31" s="69"/>
      <c r="D31" s="64"/>
      <c r="E31" s="64"/>
      <c r="F31" s="64"/>
      <c r="G31" s="64"/>
      <c r="H31" s="64"/>
    </row>
    <row r="32" spans="1:10"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0"/>
  <sheetViews>
    <sheetView zoomScaleNormal="100" workbookViewId="0">
      <selection activeCell="H14" sqref="H14"/>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79</v>
      </c>
      <c r="C1" s="3"/>
    </row>
    <row r="2" spans="1:8" ht="15.75" x14ac:dyDescent="0.25">
      <c r="B2" s="6" t="s">
        <v>81</v>
      </c>
    </row>
    <row r="3" spans="1:8" ht="15.75" x14ac:dyDescent="0.25">
      <c r="B3" s="7" t="s">
        <v>82</v>
      </c>
      <c r="E3" s="8" t="s">
        <v>76</v>
      </c>
    </row>
    <row r="4" spans="1:8" ht="15.75" x14ac:dyDescent="0.25">
      <c r="B4" s="9" t="s">
        <v>4</v>
      </c>
      <c r="C4" s="10" t="s">
        <v>5</v>
      </c>
    </row>
    <row r="5" spans="1:8" ht="15.75" x14ac:dyDescent="0.25">
      <c r="B5" s="11" t="s">
        <v>66</v>
      </c>
    </row>
    <row r="6" spans="1:8" s="17" customFormat="1" ht="15.75" x14ac:dyDescent="0.25">
      <c r="A6" s="12"/>
      <c r="B6" s="13" t="s">
        <v>83</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FINANCIAL!G16</f>
        <v>4565000</v>
      </c>
      <c r="D8" s="24"/>
      <c r="E8" s="24"/>
      <c r="F8" s="24"/>
      <c r="G8" s="25"/>
    </row>
    <row r="9" spans="1:8" x14ac:dyDescent="0.2">
      <c r="C9" s="26"/>
      <c r="D9" s="27"/>
      <c r="E9" s="27"/>
      <c r="F9" s="27"/>
      <c r="G9" s="25"/>
      <c r="H9" s="17"/>
    </row>
    <row r="10" spans="1:8" x14ac:dyDescent="0.2">
      <c r="B10" s="5" t="s">
        <v>93</v>
      </c>
      <c r="C10" s="26"/>
      <c r="D10" s="24">
        <f>'#9440.00 OPN Architects'!D25</f>
        <v>416854</v>
      </c>
      <c r="E10" s="24">
        <f>'#9440.00 OPN Architects'!F25</f>
        <v>332569.38</v>
      </c>
      <c r="F10" s="24">
        <f>'#9440.00 OPN Architects'!H25</f>
        <v>84284.62</v>
      </c>
      <c r="G10" s="25"/>
      <c r="H10" s="17"/>
    </row>
    <row r="11" spans="1:8" x14ac:dyDescent="0.2">
      <c r="B11" s="5" t="s">
        <v>14</v>
      </c>
      <c r="C11" s="26"/>
      <c r="D11" s="24">
        <f>'#9440.00 PM TIME'!E40</f>
        <v>75000</v>
      </c>
      <c r="E11" s="24">
        <f>'#9440.00 PM TIME'!G40</f>
        <v>17151.87</v>
      </c>
      <c r="F11" s="24">
        <f>'#9440.00 PM TIME'!I40</f>
        <v>57848.130000000005</v>
      </c>
      <c r="G11" s="25"/>
      <c r="H11" s="17"/>
    </row>
    <row r="12" spans="1:8" x14ac:dyDescent="0.2">
      <c r="B12" s="5" t="s">
        <v>15</v>
      </c>
      <c r="C12" s="27"/>
      <c r="D12" s="28">
        <f>'#9440.00 Misc '!G22</f>
        <v>1121.8</v>
      </c>
      <c r="E12" s="28">
        <f>'#9440.00 Misc '!G22</f>
        <v>1121.8</v>
      </c>
      <c r="F12" s="24">
        <f>D12-E12</f>
        <v>0</v>
      </c>
      <c r="G12" s="25"/>
      <c r="H12" s="17"/>
    </row>
    <row r="13" spans="1:8" x14ac:dyDescent="0.2">
      <c r="A13" s="263" t="s">
        <v>201</v>
      </c>
      <c r="B13" s="5" t="s">
        <v>85</v>
      </c>
      <c r="C13" s="27"/>
      <c r="D13" s="28">
        <f>'#9440.00 DCI Group'!D23</f>
        <v>28943.39</v>
      </c>
      <c r="E13" s="28">
        <f>'#9440.00 DCI Group'!F23</f>
        <v>28943.39</v>
      </c>
      <c r="F13" s="24">
        <f>'#9440.00 DCI Group'!H23</f>
        <v>0</v>
      </c>
      <c r="G13" s="25"/>
      <c r="H13" s="17"/>
    </row>
    <row r="14" spans="1:8" x14ac:dyDescent="0.2">
      <c r="A14" s="263"/>
      <c r="B14" s="5" t="s">
        <v>192</v>
      </c>
      <c r="C14" s="27"/>
      <c r="D14" s="28">
        <f>'#9440.00 DCI Group (2)'!D23</f>
        <v>424038.2</v>
      </c>
      <c r="E14" s="28">
        <f>'#9440.00 DCI Group (2)'!F23</f>
        <v>50747.22</v>
      </c>
      <c r="F14" s="24">
        <f>'#9440.00 DCI Group (2)'!H23</f>
        <v>373290.98</v>
      </c>
      <c r="G14" s="25"/>
      <c r="H14" s="17"/>
    </row>
    <row r="15" spans="1:8" x14ac:dyDescent="0.2">
      <c r="A15" s="263"/>
      <c r="B15" s="5" t="s">
        <v>231</v>
      </c>
      <c r="C15" s="27"/>
      <c r="D15" s="28">
        <f>'#9440.00 Van Maanen Electrical'!D23</f>
        <v>381025</v>
      </c>
      <c r="E15" s="28">
        <f>'#9440.00 Van Maanen Electrical'!F23</f>
        <v>0</v>
      </c>
      <c r="F15" s="24">
        <f>'#9440.00 Van Maanen Electrical'!H23</f>
        <v>381025</v>
      </c>
      <c r="G15" s="25"/>
      <c r="H15" s="17"/>
    </row>
    <row r="16" spans="1:8" x14ac:dyDescent="0.2">
      <c r="A16" s="263"/>
      <c r="B16" s="5" t="s">
        <v>238</v>
      </c>
      <c r="C16" s="27"/>
      <c r="D16" s="28">
        <f>'#9440.00 Proctor Mechanical'!D23</f>
        <v>117850</v>
      </c>
      <c r="E16" s="28">
        <f>'#9440.00 Proctor Mechanical'!F23</f>
        <v>2927.8</v>
      </c>
      <c r="F16" s="24">
        <f>'#9440.00 Proctor Mechanical'!H23</f>
        <v>114922.2</v>
      </c>
      <c r="G16" s="25"/>
      <c r="H16" s="17"/>
    </row>
    <row r="17" spans="1:8" x14ac:dyDescent="0.2">
      <c r="A17" s="263"/>
      <c r="B17" s="5" t="s">
        <v>159</v>
      </c>
      <c r="C17" s="27"/>
      <c r="D17" s="28">
        <f>'#9440.00 Bergstrom Construction'!D23</f>
        <v>206604</v>
      </c>
      <c r="E17" s="28">
        <f>'#9440.00 Bergstrom Construction'!F23</f>
        <v>8866.82</v>
      </c>
      <c r="F17" s="24">
        <f>'#9440.00 Bergstrom Construction'!H23</f>
        <v>197737.18</v>
      </c>
      <c r="G17" s="25"/>
      <c r="H17" s="17"/>
    </row>
    <row r="18" spans="1:8" x14ac:dyDescent="0.2">
      <c r="A18" s="263"/>
      <c r="B18" s="5" t="s">
        <v>245</v>
      </c>
      <c r="C18" s="27"/>
      <c r="D18" s="28">
        <f>'#9440.00 Metro Elevator'!D23</f>
        <v>2693845</v>
      </c>
      <c r="E18" s="28">
        <f>'#9440.00 Metro Elevator'!F23</f>
        <v>318346.42000000004</v>
      </c>
      <c r="F18" s="24">
        <f>'#9440.00 Metro Elevator'!H23</f>
        <v>2375498.58</v>
      </c>
      <c r="G18" s="25"/>
      <c r="H18" s="17"/>
    </row>
    <row r="19" spans="1:8" s="17" customFormat="1" ht="13.35" customHeight="1" x14ac:dyDescent="0.2">
      <c r="A19" s="12"/>
      <c r="B19" s="5"/>
      <c r="C19" s="27"/>
      <c r="D19" s="28"/>
      <c r="E19" s="28"/>
      <c r="F19" s="24"/>
      <c r="G19" s="29"/>
    </row>
    <row r="20" spans="1:8" s="30" customFormat="1" ht="24" customHeight="1" thickBot="1" x14ac:dyDescent="0.3">
      <c r="B20" s="31" t="s">
        <v>16</v>
      </c>
      <c r="C20" s="32">
        <f>SUM(C8:C19)</f>
        <v>4565000</v>
      </c>
      <c r="D20" s="32">
        <f>SUM(D8:D19)</f>
        <v>4345281.3900000006</v>
      </c>
      <c r="E20" s="32">
        <f>SUM(E8:E19)</f>
        <v>760674.70000000007</v>
      </c>
      <c r="F20" s="32">
        <f>SUM(D20-E20)</f>
        <v>3584606.6900000004</v>
      </c>
      <c r="G20" s="32">
        <f>C8-D20</f>
        <v>219718.6099999994</v>
      </c>
    </row>
    <row r="21" spans="1:8" s="17" customFormat="1" ht="13.35" customHeight="1" thickTop="1" x14ac:dyDescent="0.2">
      <c r="A21" s="12"/>
      <c r="B21" s="5"/>
      <c r="C21" s="5"/>
      <c r="D21" s="29"/>
      <c r="E21" s="29"/>
      <c r="F21" s="29"/>
      <c r="G21" s="29"/>
    </row>
    <row r="22" spans="1:8" s="17" customFormat="1" ht="13.35" customHeight="1" x14ac:dyDescent="0.2">
      <c r="A22" s="12"/>
      <c r="B22" s="5"/>
      <c r="C22" s="5"/>
      <c r="D22" s="29"/>
      <c r="E22" s="29"/>
      <c r="F22" s="29"/>
      <c r="G22" s="29"/>
    </row>
    <row r="23" spans="1:8" s="17" customFormat="1" ht="13.35" customHeight="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x14ac:dyDescent="0.2">
      <c r="D29" s="33"/>
    </row>
    <row r="30" spans="1:8" x14ac:dyDescent="0.2">
      <c r="D30"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3AEE-040E-446C-B4B4-4AEE3B5DE9B4}">
  <sheetPr>
    <pageSetUpPr fitToPage="1"/>
  </sheetPr>
  <dimension ref="A1:I575"/>
  <sheetViews>
    <sheetView zoomScaleNormal="100" workbookViewId="0">
      <selection activeCell="M22" sqref="M22"/>
    </sheetView>
  </sheetViews>
  <sheetFormatPr defaultColWidth="11.42578125" defaultRowHeight="12.75" x14ac:dyDescent="0.2"/>
  <cols>
    <col min="1" max="1" width="24.5703125" style="76" customWidth="1"/>
    <col min="2" max="2" width="9.42578125" style="77" customWidth="1"/>
    <col min="3" max="3" width="50.28515625" style="78" customWidth="1"/>
    <col min="4" max="4" width="14.42578125" style="65" customWidth="1"/>
    <col min="5" max="5" width="13.5703125" style="80" customWidth="1"/>
    <col min="6" max="6" width="12.85546875" style="80" bestFit="1" customWidth="1"/>
    <col min="7" max="7" width="10.5703125" style="80" customWidth="1"/>
    <col min="8" max="8" width="13.7109375" style="65" customWidth="1"/>
    <col min="9" max="9" width="5.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119</v>
      </c>
      <c r="E5" s="45"/>
      <c r="F5" s="46"/>
      <c r="G5" s="47"/>
      <c r="H5" s="42"/>
    </row>
    <row r="6" spans="1:9" s="35" customFormat="1" ht="15.75" x14ac:dyDescent="0.25">
      <c r="A6" s="13" t="str">
        <f>'RECAP #9440.00'!B6</f>
        <v>Project Manager - Brad T.</v>
      </c>
      <c r="B6" s="11"/>
      <c r="C6" s="48"/>
      <c r="D6" s="49" t="s">
        <v>120</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118</v>
      </c>
      <c r="B9" s="60">
        <v>45644</v>
      </c>
      <c r="C9" s="61" t="s">
        <v>88</v>
      </c>
      <c r="D9" s="204">
        <v>378005</v>
      </c>
      <c r="E9" s="63">
        <f>D9</f>
        <v>378005</v>
      </c>
      <c r="F9" s="64"/>
      <c r="G9" s="64"/>
      <c r="H9" s="64">
        <f>E9</f>
        <v>378005</v>
      </c>
    </row>
    <row r="10" spans="1:9" ht="12.75" customHeight="1" x14ac:dyDescent="0.2">
      <c r="A10" s="59" t="s">
        <v>118</v>
      </c>
      <c r="B10" s="66">
        <v>45653</v>
      </c>
      <c r="C10" s="61" t="s">
        <v>134</v>
      </c>
      <c r="D10" s="204">
        <v>38849</v>
      </c>
      <c r="E10" s="63">
        <f t="shared" ref="E10:E23" si="0">E9+D10</f>
        <v>416854</v>
      </c>
      <c r="F10" s="67"/>
      <c r="G10" s="64">
        <f t="shared" ref="G10:G23" si="1">G9+F10</f>
        <v>0</v>
      </c>
      <c r="H10" s="64">
        <f t="shared" ref="H10:H23" si="2">H9-F10+D10</f>
        <v>416854</v>
      </c>
    </row>
    <row r="11" spans="1:9" ht="12.75" customHeight="1" x14ac:dyDescent="0.2">
      <c r="A11" s="59" t="s">
        <v>149</v>
      </c>
      <c r="B11" s="60">
        <v>45681</v>
      </c>
      <c r="C11" s="61" t="s">
        <v>150</v>
      </c>
      <c r="D11" s="63"/>
      <c r="E11" s="63">
        <f t="shared" si="0"/>
        <v>416854</v>
      </c>
      <c r="F11" s="207">
        <v>75881.399999999994</v>
      </c>
      <c r="G11" s="64">
        <f t="shared" si="1"/>
        <v>75881.399999999994</v>
      </c>
      <c r="H11" s="64">
        <f t="shared" si="2"/>
        <v>340972.6</v>
      </c>
    </row>
    <row r="12" spans="1:9" ht="12.75" customHeight="1" x14ac:dyDescent="0.2">
      <c r="A12" s="59" t="s">
        <v>177</v>
      </c>
      <c r="B12" s="60">
        <v>45723</v>
      </c>
      <c r="C12" s="61" t="s">
        <v>178</v>
      </c>
      <c r="D12" s="63"/>
      <c r="E12" s="63">
        <f t="shared" si="0"/>
        <v>416854</v>
      </c>
      <c r="F12" s="207">
        <v>75884.600000000006</v>
      </c>
      <c r="G12" s="64">
        <f t="shared" si="1"/>
        <v>151766</v>
      </c>
      <c r="H12" s="64">
        <f t="shared" si="2"/>
        <v>265088</v>
      </c>
    </row>
    <row r="13" spans="1:9" ht="12.75" customHeight="1" x14ac:dyDescent="0.2">
      <c r="A13" s="59" t="s">
        <v>195</v>
      </c>
      <c r="B13" s="60">
        <v>45763</v>
      </c>
      <c r="C13" s="61" t="s">
        <v>196</v>
      </c>
      <c r="D13" s="63"/>
      <c r="E13" s="63">
        <f t="shared" si="0"/>
        <v>416854</v>
      </c>
      <c r="F13" s="207">
        <v>138186</v>
      </c>
      <c r="G13" s="64">
        <f t="shared" si="1"/>
        <v>289952</v>
      </c>
      <c r="H13" s="64">
        <f t="shared" si="2"/>
        <v>126902</v>
      </c>
    </row>
    <row r="14" spans="1:9" ht="12.75" customHeight="1" x14ac:dyDescent="0.2">
      <c r="A14" s="59" t="s">
        <v>225</v>
      </c>
      <c r="B14" s="60">
        <v>45786</v>
      </c>
      <c r="C14" s="61" t="s">
        <v>226</v>
      </c>
      <c r="D14" s="63"/>
      <c r="E14" s="63">
        <f t="shared" si="0"/>
        <v>416854</v>
      </c>
      <c r="F14" s="207">
        <v>14510</v>
      </c>
      <c r="G14" s="64">
        <f t="shared" si="1"/>
        <v>304462</v>
      </c>
      <c r="H14" s="64">
        <f t="shared" si="2"/>
        <v>112392</v>
      </c>
    </row>
    <row r="15" spans="1:9" ht="12.75" customHeight="1" x14ac:dyDescent="0.2">
      <c r="A15" s="59" t="s">
        <v>262</v>
      </c>
      <c r="B15" s="60">
        <v>45832</v>
      </c>
      <c r="C15" s="61" t="s">
        <v>263</v>
      </c>
      <c r="D15" s="63"/>
      <c r="E15" s="63">
        <f t="shared" si="0"/>
        <v>416854</v>
      </c>
      <c r="F15" s="207">
        <v>5619.23</v>
      </c>
      <c r="G15" s="64">
        <f t="shared" si="1"/>
        <v>310081.23</v>
      </c>
      <c r="H15" s="64">
        <f t="shared" si="2"/>
        <v>106772.77</v>
      </c>
    </row>
    <row r="16" spans="1:9" ht="12.75" customHeight="1" x14ac:dyDescent="0.2">
      <c r="A16" s="276" t="s">
        <v>276</v>
      </c>
      <c r="B16" s="277">
        <v>45853</v>
      </c>
      <c r="C16" s="278" t="s">
        <v>277</v>
      </c>
      <c r="D16" s="279"/>
      <c r="E16" s="279">
        <f t="shared" si="0"/>
        <v>416854</v>
      </c>
      <c r="F16" s="280">
        <v>5621.97</v>
      </c>
      <c r="G16" s="281">
        <f t="shared" si="1"/>
        <v>315703.19999999995</v>
      </c>
      <c r="H16" s="281">
        <f t="shared" si="2"/>
        <v>101150.8</v>
      </c>
      <c r="I16" s="282" t="s">
        <v>289</v>
      </c>
    </row>
    <row r="17" spans="1:8" ht="12.75" customHeight="1" x14ac:dyDescent="0.2">
      <c r="A17" s="59" t="s">
        <v>298</v>
      </c>
      <c r="B17" s="60">
        <v>45891</v>
      </c>
      <c r="C17" s="61" t="s">
        <v>291</v>
      </c>
      <c r="D17" s="204">
        <v>0</v>
      </c>
      <c r="E17" s="63">
        <f t="shared" si="0"/>
        <v>416854</v>
      </c>
      <c r="F17" s="67"/>
      <c r="G17" s="64">
        <f t="shared" si="1"/>
        <v>315703.19999999995</v>
      </c>
      <c r="H17" s="64">
        <f t="shared" si="2"/>
        <v>101150.8</v>
      </c>
    </row>
    <row r="18" spans="1:8" ht="12.75" customHeight="1" x14ac:dyDescent="0.2">
      <c r="A18" s="59" t="s">
        <v>309</v>
      </c>
      <c r="B18" s="60">
        <v>45910</v>
      </c>
      <c r="C18" s="61" t="s">
        <v>308</v>
      </c>
      <c r="D18" s="63"/>
      <c r="E18" s="63">
        <f t="shared" si="0"/>
        <v>416854</v>
      </c>
      <c r="F18" s="207">
        <v>5619.45</v>
      </c>
      <c r="G18" s="64">
        <f t="shared" si="1"/>
        <v>321322.64999999997</v>
      </c>
      <c r="H18" s="64">
        <f t="shared" si="2"/>
        <v>95531.35</v>
      </c>
    </row>
    <row r="19" spans="1:8" ht="12.75" customHeight="1" x14ac:dyDescent="0.2">
      <c r="A19" s="59" t="s">
        <v>316</v>
      </c>
      <c r="B19" s="60">
        <v>45915</v>
      </c>
      <c r="C19" s="61" t="s">
        <v>317</v>
      </c>
      <c r="D19" s="63"/>
      <c r="E19" s="63">
        <f t="shared" si="0"/>
        <v>416854</v>
      </c>
      <c r="F19" s="207">
        <v>5625.46</v>
      </c>
      <c r="G19" s="64">
        <f t="shared" si="1"/>
        <v>326948.11</v>
      </c>
      <c r="H19" s="64">
        <f t="shared" si="2"/>
        <v>89905.89</v>
      </c>
    </row>
    <row r="20" spans="1:8" ht="12.75" customHeight="1" x14ac:dyDescent="0.2">
      <c r="A20" s="59" t="s">
        <v>333</v>
      </c>
      <c r="B20" s="60">
        <v>46302</v>
      </c>
      <c r="C20" s="61" t="s">
        <v>334</v>
      </c>
      <c r="D20" s="63"/>
      <c r="E20" s="63">
        <f t="shared" si="0"/>
        <v>416854</v>
      </c>
      <c r="F20" s="207">
        <v>5621.27</v>
      </c>
      <c r="G20" s="64">
        <f t="shared" si="1"/>
        <v>332569.38</v>
      </c>
      <c r="H20" s="64">
        <f t="shared" si="2"/>
        <v>84284.62</v>
      </c>
    </row>
    <row r="21" spans="1:8" ht="12.75" customHeight="1" x14ac:dyDescent="0.2">
      <c r="A21" s="59"/>
      <c r="B21" s="60"/>
      <c r="C21" s="61"/>
      <c r="D21" s="63"/>
      <c r="E21" s="63">
        <f t="shared" si="0"/>
        <v>416854</v>
      </c>
      <c r="F21" s="67"/>
      <c r="G21" s="64">
        <f t="shared" si="1"/>
        <v>332569.38</v>
      </c>
      <c r="H21" s="64">
        <f t="shared" si="2"/>
        <v>84284.62</v>
      </c>
    </row>
    <row r="22" spans="1:8" ht="12.75" customHeight="1" x14ac:dyDescent="0.2">
      <c r="A22" s="59"/>
      <c r="B22" s="60"/>
      <c r="C22" s="61"/>
      <c r="D22" s="63"/>
      <c r="E22" s="63">
        <f t="shared" si="0"/>
        <v>416854</v>
      </c>
      <c r="F22" s="67"/>
      <c r="G22" s="64">
        <f t="shared" si="1"/>
        <v>332569.38</v>
      </c>
      <c r="H22" s="64">
        <f t="shared" si="2"/>
        <v>84284.62</v>
      </c>
    </row>
    <row r="23" spans="1:8" ht="12.75" customHeight="1" x14ac:dyDescent="0.2">
      <c r="A23" s="59"/>
      <c r="B23" s="60"/>
      <c r="C23" s="68"/>
      <c r="D23" s="63"/>
      <c r="E23" s="63">
        <f t="shared" si="0"/>
        <v>416854</v>
      </c>
      <c r="F23" s="64"/>
      <c r="G23" s="64">
        <f t="shared" si="1"/>
        <v>332569.38</v>
      </c>
      <c r="H23" s="64">
        <f t="shared" si="2"/>
        <v>84284.62</v>
      </c>
    </row>
    <row r="24" spans="1:8" x14ac:dyDescent="0.2">
      <c r="A24" s="59"/>
      <c r="B24" s="61"/>
      <c r="C24" s="69"/>
      <c r="D24" s="64"/>
      <c r="E24" s="64"/>
      <c r="F24" s="64"/>
      <c r="G24" s="64"/>
      <c r="H24" s="64"/>
    </row>
    <row r="25" spans="1:8" ht="13.5" thickBot="1" x14ac:dyDescent="0.25">
      <c r="A25" s="59"/>
      <c r="B25" s="70"/>
      <c r="C25" s="71" t="s">
        <v>28</v>
      </c>
      <c r="D25" s="72">
        <f>SUM(D9:D24)</f>
        <v>416854</v>
      </c>
      <c r="E25" s="72"/>
      <c r="F25" s="72">
        <f>SUM(F9:F24)</f>
        <v>332569.38</v>
      </c>
      <c r="G25" s="72"/>
      <c r="H25" s="72">
        <f>D25-F25</f>
        <v>84284.62</v>
      </c>
    </row>
    <row r="26" spans="1:8" ht="13.5" thickTop="1" x14ac:dyDescent="0.2">
      <c r="A26" s="73"/>
      <c r="B26" s="61"/>
      <c r="C26" s="69"/>
      <c r="D26" s="64"/>
      <c r="E26" s="64"/>
      <c r="F26" s="64"/>
      <c r="G26" s="64"/>
      <c r="H26" s="64"/>
    </row>
    <row r="27" spans="1:8" x14ac:dyDescent="0.2">
      <c r="A27" s="73"/>
      <c r="B27" s="61"/>
      <c r="C27" s="69"/>
      <c r="D27" s="64"/>
      <c r="E27" s="64"/>
      <c r="F27" s="64"/>
      <c r="G27" s="64"/>
      <c r="H27" s="64"/>
    </row>
    <row r="28" spans="1:8" x14ac:dyDescent="0.2">
      <c r="A28" s="73"/>
      <c r="B28" s="61"/>
      <c r="C28" s="96" t="s">
        <v>125</v>
      </c>
      <c r="D28" s="64"/>
      <c r="E28" s="64"/>
      <c r="F28" s="64"/>
      <c r="G28" s="64"/>
      <c r="H28" s="64"/>
    </row>
    <row r="29" spans="1:8" x14ac:dyDescent="0.2">
      <c r="A29" s="73"/>
      <c r="B29" s="61"/>
      <c r="C29" s="69" t="s">
        <v>121</v>
      </c>
      <c r="D29" s="64">
        <v>17810</v>
      </c>
      <c r="E29" s="64"/>
      <c r="F29" s="64">
        <f>8905+8905</f>
        <v>17810</v>
      </c>
      <c r="G29" s="64"/>
      <c r="H29" s="64">
        <f>D29-F29</f>
        <v>0</v>
      </c>
    </row>
    <row r="30" spans="1:8" x14ac:dyDescent="0.2">
      <c r="A30" s="73"/>
      <c r="B30" s="61"/>
      <c r="C30" s="69" t="s">
        <v>122</v>
      </c>
      <c r="D30" s="64">
        <v>15570</v>
      </c>
      <c r="E30" s="64"/>
      <c r="F30" s="64">
        <f>15570</f>
        <v>15570</v>
      </c>
      <c r="G30" s="64"/>
      <c r="H30" s="64">
        <f t="shared" ref="H30:H32" si="3">D30-F30</f>
        <v>0</v>
      </c>
    </row>
    <row r="31" spans="1:8" x14ac:dyDescent="0.2">
      <c r="A31" s="73"/>
      <c r="B31" s="61"/>
      <c r="C31" s="69" t="s">
        <v>123</v>
      </c>
      <c r="D31" s="64">
        <v>1745</v>
      </c>
      <c r="E31" s="64"/>
      <c r="F31" s="64">
        <f>1745</f>
        <v>1745</v>
      </c>
      <c r="G31" s="64"/>
      <c r="H31" s="64">
        <f t="shared" si="3"/>
        <v>0</v>
      </c>
    </row>
    <row r="32" spans="1:8" x14ac:dyDescent="0.2">
      <c r="A32" s="73"/>
      <c r="B32" s="61"/>
      <c r="C32" s="69" t="s">
        <v>124</v>
      </c>
      <c r="D32" s="64">
        <v>11640</v>
      </c>
      <c r="E32" s="64"/>
      <c r="F32" s="64">
        <f>582+582+582+582+582</f>
        <v>2910</v>
      </c>
      <c r="G32" s="64"/>
      <c r="H32" s="64">
        <f t="shared" si="3"/>
        <v>8730</v>
      </c>
    </row>
    <row r="33" spans="1:9" ht="13.5" thickBot="1" x14ac:dyDescent="0.25">
      <c r="A33" s="73"/>
      <c r="B33" s="61"/>
      <c r="C33" s="96" t="s">
        <v>111</v>
      </c>
      <c r="D33" s="72">
        <f>SUM(D29:D32)</f>
        <v>46765</v>
      </c>
      <c r="E33" s="211"/>
      <c r="F33" s="72">
        <f>SUM(F29:F32)</f>
        <v>38035</v>
      </c>
      <c r="G33" s="211"/>
      <c r="H33" s="72">
        <f>SUM(H29:H32)</f>
        <v>8730</v>
      </c>
    </row>
    <row r="34" spans="1:9" ht="13.5" thickTop="1" x14ac:dyDescent="0.2">
      <c r="A34" s="73"/>
      <c r="B34" s="61"/>
      <c r="C34" s="69"/>
      <c r="D34" s="64"/>
      <c r="E34" s="64"/>
      <c r="F34" s="64"/>
      <c r="G34" s="64"/>
      <c r="H34" s="64"/>
    </row>
    <row r="35" spans="1:9" x14ac:dyDescent="0.2">
      <c r="A35" s="73"/>
      <c r="B35" s="61"/>
      <c r="C35" s="69"/>
      <c r="D35" s="64"/>
      <c r="E35" s="64"/>
      <c r="F35" s="64"/>
      <c r="G35" s="64"/>
      <c r="H35" s="64"/>
    </row>
    <row r="36" spans="1:9" x14ac:dyDescent="0.2">
      <c r="A36" s="73"/>
      <c r="B36" s="61"/>
      <c r="C36" s="96" t="s">
        <v>126</v>
      </c>
      <c r="D36" s="45"/>
      <c r="E36" s="74"/>
      <c r="F36" s="75"/>
      <c r="G36" s="75"/>
      <c r="H36" s="45"/>
    </row>
    <row r="37" spans="1:9" x14ac:dyDescent="0.2">
      <c r="C37" s="69" t="s">
        <v>121</v>
      </c>
      <c r="D37" s="64">
        <v>17810</v>
      </c>
      <c r="E37" s="64"/>
      <c r="F37" s="64">
        <f>8905+8905</f>
        <v>17810</v>
      </c>
      <c r="G37" s="64"/>
      <c r="H37" s="64">
        <f>D37-F37</f>
        <v>0</v>
      </c>
    </row>
    <row r="38" spans="1:9" x14ac:dyDescent="0.2">
      <c r="C38" s="69" t="s">
        <v>122</v>
      </c>
      <c r="D38" s="64">
        <v>15570</v>
      </c>
      <c r="E38" s="64"/>
      <c r="F38" s="64">
        <f>15570</f>
        <v>15570</v>
      </c>
      <c r="G38" s="64"/>
      <c r="H38" s="64">
        <f t="shared" ref="H38:H40" si="4">D38-F38</f>
        <v>0</v>
      </c>
    </row>
    <row r="39" spans="1:9" s="80" customFormat="1" x14ac:dyDescent="0.2">
      <c r="A39" s="76"/>
      <c r="B39" s="77"/>
      <c r="C39" s="69" t="s">
        <v>123</v>
      </c>
      <c r="D39" s="64">
        <v>1745</v>
      </c>
      <c r="E39" s="64"/>
      <c r="F39" s="64">
        <f>1745</f>
        <v>1745</v>
      </c>
      <c r="G39" s="64"/>
      <c r="H39" s="64">
        <f t="shared" si="4"/>
        <v>0</v>
      </c>
      <c r="I39" s="65"/>
    </row>
    <row r="40" spans="1:9" s="80" customFormat="1" x14ac:dyDescent="0.2">
      <c r="A40" s="76"/>
      <c r="B40" s="77"/>
      <c r="C40" s="69" t="s">
        <v>124</v>
      </c>
      <c r="D40" s="64">
        <v>11955</v>
      </c>
      <c r="E40" s="64"/>
      <c r="F40" s="64">
        <f>597.75+597.75+597.75+597.75+597.75</f>
        <v>2988.75</v>
      </c>
      <c r="G40" s="64"/>
      <c r="H40" s="64">
        <f t="shared" si="4"/>
        <v>8966.25</v>
      </c>
      <c r="I40" s="65"/>
    </row>
    <row r="41" spans="1:9" s="80" customFormat="1" ht="13.5" thickBot="1" x14ac:dyDescent="0.25">
      <c r="A41" s="76"/>
      <c r="B41" s="77"/>
      <c r="C41" s="96" t="s">
        <v>111</v>
      </c>
      <c r="D41" s="72">
        <f>SUM(D37:D40)</f>
        <v>47080</v>
      </c>
      <c r="E41" s="211"/>
      <c r="F41" s="72">
        <f>SUM(F37:F40)</f>
        <v>38113.75</v>
      </c>
      <c r="G41" s="211"/>
      <c r="H41" s="72">
        <f>SUM(H37:H40)</f>
        <v>8966.25</v>
      </c>
      <c r="I41" s="65"/>
    </row>
    <row r="42" spans="1:9" s="80" customFormat="1" ht="13.5" thickTop="1" x14ac:dyDescent="0.2">
      <c r="A42" s="76"/>
      <c r="B42" s="77"/>
      <c r="C42" s="78"/>
      <c r="D42" s="65"/>
      <c r="E42" s="79"/>
      <c r="H42" s="65"/>
      <c r="I42" s="65"/>
    </row>
    <row r="43" spans="1:9" s="80" customFormat="1" x14ac:dyDescent="0.2">
      <c r="A43" s="76"/>
      <c r="B43" s="77"/>
      <c r="C43" s="78"/>
      <c r="D43" s="65"/>
      <c r="E43" s="79"/>
      <c r="H43" s="65"/>
      <c r="I43" s="65"/>
    </row>
    <row r="44" spans="1:9" s="80" customFormat="1" x14ac:dyDescent="0.2">
      <c r="A44" s="76"/>
      <c r="B44" s="77"/>
      <c r="C44" s="96" t="s">
        <v>127</v>
      </c>
      <c r="D44" s="45"/>
      <c r="E44" s="74"/>
      <c r="F44" s="75"/>
      <c r="G44" s="75"/>
      <c r="H44" s="45"/>
      <c r="I44" s="65"/>
    </row>
    <row r="45" spans="1:9" s="80" customFormat="1" x14ac:dyDescent="0.2">
      <c r="A45" s="76"/>
      <c r="B45" s="77"/>
      <c r="C45" s="69" t="s">
        <v>121</v>
      </c>
      <c r="D45" s="64">
        <v>14088</v>
      </c>
      <c r="E45" s="64"/>
      <c r="F45" s="64">
        <f>7044+7044</f>
        <v>14088</v>
      </c>
      <c r="G45" s="64"/>
      <c r="H45" s="64">
        <f>D45-F45</f>
        <v>0</v>
      </c>
      <c r="I45" s="65"/>
    </row>
    <row r="46" spans="1:9" s="80" customFormat="1" x14ac:dyDescent="0.2">
      <c r="A46" s="76"/>
      <c r="B46" s="77"/>
      <c r="C46" s="69" t="s">
        <v>122</v>
      </c>
      <c r="D46" s="64">
        <v>12948</v>
      </c>
      <c r="E46" s="64"/>
      <c r="F46" s="64">
        <v>12948</v>
      </c>
      <c r="G46" s="64"/>
      <c r="H46" s="64">
        <f t="shared" ref="H46:H48" si="5">D46-F46</f>
        <v>0</v>
      </c>
      <c r="I46" s="65"/>
    </row>
    <row r="47" spans="1:9" s="80" customFormat="1" x14ac:dyDescent="0.2">
      <c r="A47" s="76"/>
      <c r="B47" s="77"/>
      <c r="C47" s="69" t="s">
        <v>123</v>
      </c>
      <c r="D47" s="64">
        <v>1325</v>
      </c>
      <c r="E47" s="64"/>
      <c r="F47" s="64">
        <f>1325</f>
        <v>1325</v>
      </c>
      <c r="G47" s="64"/>
      <c r="H47" s="64">
        <f t="shared" si="5"/>
        <v>0</v>
      </c>
      <c r="I47" s="65"/>
    </row>
    <row r="48" spans="1:9" s="80" customFormat="1" x14ac:dyDescent="0.2">
      <c r="A48" s="76"/>
      <c r="B48" s="77"/>
      <c r="C48" s="69" t="s">
        <v>124</v>
      </c>
      <c r="D48" s="64">
        <v>11008</v>
      </c>
      <c r="E48" s="64"/>
      <c r="F48" s="64">
        <f>550.4+550.4+550.4+550.4+550.4</f>
        <v>2752</v>
      </c>
      <c r="G48" s="64"/>
      <c r="H48" s="64">
        <f t="shared" si="5"/>
        <v>8256</v>
      </c>
      <c r="I48" s="65"/>
    </row>
    <row r="49" spans="1:9" s="80" customFormat="1" ht="13.5" thickBot="1" x14ac:dyDescent="0.25">
      <c r="A49" s="76"/>
      <c r="B49" s="77"/>
      <c r="C49" s="96" t="s">
        <v>111</v>
      </c>
      <c r="D49" s="72">
        <f>SUM(D45:D48)</f>
        <v>39369</v>
      </c>
      <c r="E49" s="211"/>
      <c r="F49" s="72">
        <f>SUM(F45:F48)</f>
        <v>31113</v>
      </c>
      <c r="G49" s="211"/>
      <c r="H49" s="72">
        <f>SUM(H45:H48)</f>
        <v>8256</v>
      </c>
      <c r="I49" s="65"/>
    </row>
    <row r="50" spans="1:9" s="80" customFormat="1" ht="13.5" thickTop="1" x14ac:dyDescent="0.2">
      <c r="A50" s="76"/>
      <c r="B50" s="77"/>
      <c r="C50" s="78"/>
      <c r="D50" s="65"/>
      <c r="E50" s="79"/>
      <c r="H50" s="65"/>
      <c r="I50" s="65"/>
    </row>
    <row r="51" spans="1:9" s="80" customFormat="1" x14ac:dyDescent="0.2">
      <c r="A51" s="76"/>
      <c r="B51" s="77"/>
      <c r="C51" s="78"/>
      <c r="D51" s="65"/>
      <c r="E51" s="79"/>
      <c r="H51" s="65"/>
      <c r="I51" s="65"/>
    </row>
    <row r="52" spans="1:9" s="80" customFormat="1" x14ac:dyDescent="0.2">
      <c r="A52" s="76"/>
      <c r="B52" s="77"/>
      <c r="C52" s="96" t="s">
        <v>128</v>
      </c>
      <c r="D52" s="45"/>
      <c r="E52" s="74"/>
      <c r="F52" s="75"/>
      <c r="G52" s="75"/>
      <c r="H52" s="45"/>
      <c r="I52" s="65"/>
    </row>
    <row r="53" spans="1:9" s="80" customFormat="1" x14ac:dyDescent="0.2">
      <c r="A53" s="76"/>
      <c r="B53" s="77"/>
      <c r="C53" s="69" t="s">
        <v>121</v>
      </c>
      <c r="D53" s="64">
        <v>14088</v>
      </c>
      <c r="E53" s="64"/>
      <c r="F53" s="64">
        <f>7044+7044</f>
        <v>14088</v>
      </c>
      <c r="G53" s="64"/>
      <c r="H53" s="64">
        <f>D53-F53</f>
        <v>0</v>
      </c>
      <c r="I53" s="65"/>
    </row>
    <row r="54" spans="1:9" s="80" customFormat="1" x14ac:dyDescent="0.2">
      <c r="A54" s="76"/>
      <c r="B54" s="77"/>
      <c r="C54" s="69" t="s">
        <v>122</v>
      </c>
      <c r="D54" s="64">
        <v>12948</v>
      </c>
      <c r="E54" s="64"/>
      <c r="F54" s="64">
        <v>12948</v>
      </c>
      <c r="G54" s="64"/>
      <c r="H54" s="64">
        <f t="shared" ref="H54:H56" si="6">D54-F54</f>
        <v>0</v>
      </c>
      <c r="I54" s="65"/>
    </row>
    <row r="55" spans="1:9" s="80" customFormat="1" x14ac:dyDescent="0.2">
      <c r="A55" s="76"/>
      <c r="B55" s="77"/>
      <c r="C55" s="69" t="s">
        <v>123</v>
      </c>
      <c r="D55" s="64">
        <v>1325</v>
      </c>
      <c r="E55" s="64"/>
      <c r="F55" s="64">
        <f>1325</f>
        <v>1325</v>
      </c>
      <c r="G55" s="64"/>
      <c r="H55" s="64">
        <f t="shared" si="6"/>
        <v>0</v>
      </c>
      <c r="I55" s="65"/>
    </row>
    <row r="56" spans="1:9" s="80" customFormat="1" x14ac:dyDescent="0.2">
      <c r="A56" s="76"/>
      <c r="B56" s="77"/>
      <c r="C56" s="69" t="s">
        <v>124</v>
      </c>
      <c r="D56" s="64">
        <v>10908</v>
      </c>
      <c r="E56" s="64"/>
      <c r="F56" s="64">
        <f>545.4+545.4+545.4+545.4+545.4</f>
        <v>2727</v>
      </c>
      <c r="G56" s="64"/>
      <c r="H56" s="64">
        <f t="shared" si="6"/>
        <v>8181</v>
      </c>
      <c r="I56" s="65"/>
    </row>
    <row r="57" spans="1:9" s="80" customFormat="1" ht="13.5" thickBot="1" x14ac:dyDescent="0.25">
      <c r="A57" s="76"/>
      <c r="B57" s="77"/>
      <c r="C57" s="96" t="s">
        <v>111</v>
      </c>
      <c r="D57" s="72">
        <f>SUM(D53:D56)</f>
        <v>39269</v>
      </c>
      <c r="E57" s="211"/>
      <c r="F57" s="72">
        <f>SUM(F53:F56)</f>
        <v>31088</v>
      </c>
      <c r="G57" s="211"/>
      <c r="H57" s="72">
        <f>SUM(H53:H56)</f>
        <v>8181</v>
      </c>
      <c r="I57" s="65"/>
    </row>
    <row r="58" spans="1:9" s="80" customFormat="1" ht="13.5" thickTop="1" x14ac:dyDescent="0.2">
      <c r="A58" s="76"/>
      <c r="B58" s="77"/>
      <c r="C58" s="96"/>
      <c r="D58" s="212"/>
      <c r="E58" s="211"/>
      <c r="F58" s="212"/>
      <c r="G58" s="211"/>
      <c r="H58" s="212"/>
      <c r="I58" s="65"/>
    </row>
    <row r="59" spans="1:9" s="80" customFormat="1" x14ac:dyDescent="0.2">
      <c r="A59" s="76"/>
      <c r="B59" s="77"/>
      <c r="C59" s="96"/>
      <c r="D59" s="212"/>
      <c r="E59" s="211"/>
      <c r="F59" s="212"/>
      <c r="G59" s="211"/>
      <c r="H59" s="212"/>
      <c r="I59" s="65"/>
    </row>
    <row r="60" spans="1:9" s="80" customFormat="1" x14ac:dyDescent="0.2">
      <c r="A60" s="76"/>
      <c r="B60" s="77"/>
      <c r="C60" s="96" t="s">
        <v>151</v>
      </c>
      <c r="D60" s="45"/>
      <c r="E60" s="74"/>
      <c r="F60" s="75"/>
      <c r="G60" s="75"/>
      <c r="H60" s="45"/>
      <c r="I60" s="65"/>
    </row>
    <row r="61" spans="1:9" s="80" customFormat="1" x14ac:dyDescent="0.2">
      <c r="A61" s="76"/>
      <c r="B61" s="77"/>
      <c r="C61" s="69" t="s">
        <v>121</v>
      </c>
      <c r="D61" s="64">
        <v>14928</v>
      </c>
      <c r="E61" s="64"/>
      <c r="F61" s="64">
        <f>7464+7464</f>
        <v>14928</v>
      </c>
      <c r="G61" s="64"/>
      <c r="H61" s="64">
        <f>D61-F61</f>
        <v>0</v>
      </c>
      <c r="I61" s="65"/>
    </row>
    <row r="62" spans="1:9" s="80" customFormat="1" x14ac:dyDescent="0.2">
      <c r="A62" s="76"/>
      <c r="B62" s="77"/>
      <c r="C62" s="69" t="s">
        <v>122</v>
      </c>
      <c r="D62" s="64">
        <v>13998</v>
      </c>
      <c r="E62" s="64"/>
      <c r="F62" s="64">
        <v>13998</v>
      </c>
      <c r="G62" s="64"/>
      <c r="H62" s="64">
        <f t="shared" ref="H62:H64" si="7">D62-F62</f>
        <v>0</v>
      </c>
      <c r="I62" s="65"/>
    </row>
    <row r="63" spans="1:9" s="80" customFormat="1" x14ac:dyDescent="0.2">
      <c r="A63" s="76"/>
      <c r="B63" s="77"/>
      <c r="C63" s="69" t="s">
        <v>123</v>
      </c>
      <c r="D63" s="64">
        <v>1325</v>
      </c>
      <c r="E63" s="64"/>
      <c r="F63" s="64">
        <f>1325</f>
        <v>1325</v>
      </c>
      <c r="G63" s="64"/>
      <c r="H63" s="64">
        <f t="shared" si="7"/>
        <v>0</v>
      </c>
      <c r="I63" s="65"/>
    </row>
    <row r="64" spans="1:9" s="80" customFormat="1" x14ac:dyDescent="0.2">
      <c r="A64" s="76"/>
      <c r="B64" s="77"/>
      <c r="C64" s="69" t="s">
        <v>124</v>
      </c>
      <c r="D64" s="64">
        <v>11008</v>
      </c>
      <c r="E64" s="64"/>
      <c r="F64" s="64">
        <f>550.4+550.4+550.4+550.4+550.4</f>
        <v>2752</v>
      </c>
      <c r="G64" s="64"/>
      <c r="H64" s="64">
        <f t="shared" si="7"/>
        <v>8256</v>
      </c>
      <c r="I64" s="65"/>
    </row>
    <row r="65" spans="1:9" s="80" customFormat="1" ht="13.5" thickBot="1" x14ac:dyDescent="0.25">
      <c r="A65" s="76"/>
      <c r="B65" s="77"/>
      <c r="C65" s="96" t="s">
        <v>111</v>
      </c>
      <c r="D65" s="72">
        <f>SUM(D61:D64)</f>
        <v>41259</v>
      </c>
      <c r="E65" s="211"/>
      <c r="F65" s="72">
        <f>SUM(F61:F64)</f>
        <v>33003</v>
      </c>
      <c r="G65" s="211"/>
      <c r="H65" s="72">
        <f>SUM(H61:H64)</f>
        <v>8256</v>
      </c>
      <c r="I65" s="65"/>
    </row>
    <row r="66" spans="1:9" s="80" customFormat="1" ht="13.5" thickTop="1" x14ac:dyDescent="0.2">
      <c r="A66" s="76"/>
      <c r="B66" s="77"/>
      <c r="C66" s="96"/>
      <c r="D66" s="212"/>
      <c r="E66" s="211"/>
      <c r="F66" s="212"/>
      <c r="G66" s="211"/>
      <c r="H66" s="212"/>
      <c r="I66" s="65"/>
    </row>
    <row r="67" spans="1:9" s="80" customFormat="1" x14ac:dyDescent="0.2">
      <c r="A67" s="76"/>
      <c r="B67" s="77"/>
      <c r="C67" s="96"/>
      <c r="D67" s="212"/>
      <c r="E67" s="211"/>
      <c r="F67" s="212"/>
      <c r="G67" s="211"/>
      <c r="H67" s="212"/>
      <c r="I67" s="65"/>
    </row>
    <row r="68" spans="1:9" s="80" customFormat="1" x14ac:dyDescent="0.2">
      <c r="A68" s="76"/>
      <c r="B68" s="77"/>
      <c r="C68" s="96" t="s">
        <v>129</v>
      </c>
      <c r="D68" s="45"/>
      <c r="E68" s="74"/>
      <c r="F68" s="75"/>
      <c r="G68" s="75"/>
      <c r="H68" s="45"/>
      <c r="I68" s="65"/>
    </row>
    <row r="69" spans="1:9" s="80" customFormat="1" x14ac:dyDescent="0.2">
      <c r="A69" s="76"/>
      <c r="B69" s="77"/>
      <c r="C69" s="69" t="s">
        <v>121</v>
      </c>
      <c r="D69" s="64">
        <v>13668</v>
      </c>
      <c r="E69" s="64"/>
      <c r="F69" s="64">
        <f>6834+6834</f>
        <v>13668</v>
      </c>
      <c r="G69" s="64"/>
      <c r="H69" s="64">
        <f>D69-F69</f>
        <v>0</v>
      </c>
      <c r="I69" s="65"/>
    </row>
    <row r="70" spans="1:9" s="80" customFormat="1" x14ac:dyDescent="0.2">
      <c r="A70" s="76"/>
      <c r="B70" s="77"/>
      <c r="C70" s="69" t="s">
        <v>122</v>
      </c>
      <c r="D70" s="64">
        <v>12738</v>
      </c>
      <c r="E70" s="64"/>
      <c r="F70" s="64">
        <v>12738</v>
      </c>
      <c r="G70" s="64"/>
      <c r="H70" s="64">
        <f t="shared" ref="H70:H72" si="8">D70-F70</f>
        <v>0</v>
      </c>
      <c r="I70" s="65"/>
    </row>
    <row r="71" spans="1:9" s="80" customFormat="1" x14ac:dyDescent="0.2">
      <c r="A71" s="76"/>
      <c r="B71" s="77"/>
      <c r="C71" s="69" t="s">
        <v>123</v>
      </c>
      <c r="D71" s="64">
        <v>1325</v>
      </c>
      <c r="E71" s="64"/>
      <c r="F71" s="64">
        <f>1325</f>
        <v>1325</v>
      </c>
      <c r="G71" s="64"/>
      <c r="H71" s="64">
        <f t="shared" si="8"/>
        <v>0</v>
      </c>
      <c r="I71" s="65"/>
    </row>
    <row r="72" spans="1:9" s="80" customFormat="1" x14ac:dyDescent="0.2">
      <c r="A72" s="76"/>
      <c r="B72" s="77"/>
      <c r="C72" s="69" t="s">
        <v>124</v>
      </c>
      <c r="D72" s="64">
        <v>10908</v>
      </c>
      <c r="E72" s="64"/>
      <c r="F72" s="64">
        <f>545.4+545.4+545.4+545.4+545.4</f>
        <v>2727</v>
      </c>
      <c r="G72" s="64"/>
      <c r="H72" s="64">
        <f t="shared" si="8"/>
        <v>8181</v>
      </c>
      <c r="I72" s="65"/>
    </row>
    <row r="73" spans="1:9" s="80" customFormat="1" ht="13.5" thickBot="1" x14ac:dyDescent="0.25">
      <c r="A73" s="76"/>
      <c r="B73" s="77"/>
      <c r="C73" s="96" t="s">
        <v>111</v>
      </c>
      <c r="D73" s="72">
        <f>SUM(D69:D72)</f>
        <v>38639</v>
      </c>
      <c r="E73" s="211"/>
      <c r="F73" s="72">
        <f>SUM(F69:F72)</f>
        <v>30458</v>
      </c>
      <c r="G73" s="211"/>
      <c r="H73" s="72">
        <f>SUM(H69:H72)</f>
        <v>8181</v>
      </c>
      <c r="I73" s="65"/>
    </row>
    <row r="74" spans="1:9" s="80" customFormat="1" ht="13.5" thickTop="1" x14ac:dyDescent="0.2">
      <c r="A74" s="76"/>
      <c r="B74" s="77"/>
      <c r="C74" s="78"/>
      <c r="D74" s="65"/>
      <c r="E74" s="79"/>
      <c r="H74" s="65"/>
      <c r="I74" s="65"/>
    </row>
    <row r="75" spans="1:9" s="80" customFormat="1" x14ac:dyDescent="0.2">
      <c r="A75" s="76"/>
      <c r="B75" s="77"/>
      <c r="C75" s="78"/>
      <c r="D75" s="65"/>
      <c r="E75" s="79"/>
      <c r="H75" s="65"/>
      <c r="I75" s="65"/>
    </row>
    <row r="76" spans="1:9" s="80" customFormat="1" x14ac:dyDescent="0.2">
      <c r="A76" s="76"/>
      <c r="B76" s="77"/>
      <c r="C76" s="96" t="s">
        <v>130</v>
      </c>
      <c r="D76" s="45"/>
      <c r="E76" s="74"/>
      <c r="F76" s="75"/>
      <c r="G76" s="75"/>
      <c r="H76" s="45"/>
      <c r="I76" s="65"/>
    </row>
    <row r="77" spans="1:9" s="80" customFormat="1" x14ac:dyDescent="0.2">
      <c r="A77" s="76"/>
      <c r="B77" s="77"/>
      <c r="C77" s="69" t="s">
        <v>121</v>
      </c>
      <c r="D77" s="64">
        <v>13668</v>
      </c>
      <c r="E77" s="64"/>
      <c r="F77" s="64">
        <f>6834+6834</f>
        <v>13668</v>
      </c>
      <c r="G77" s="64"/>
      <c r="H77" s="64">
        <f>D77-F77</f>
        <v>0</v>
      </c>
      <c r="I77" s="65"/>
    </row>
    <row r="78" spans="1:9" s="80" customFormat="1" x14ac:dyDescent="0.2">
      <c r="A78" s="76"/>
      <c r="B78" s="77"/>
      <c r="C78" s="69" t="s">
        <v>122</v>
      </c>
      <c r="D78" s="64">
        <v>12948</v>
      </c>
      <c r="E78" s="64"/>
      <c r="F78" s="64">
        <v>12948</v>
      </c>
      <c r="G78" s="64"/>
      <c r="H78" s="64">
        <f t="shared" ref="H78:H80" si="9">D78-F78</f>
        <v>0</v>
      </c>
      <c r="I78" s="65"/>
    </row>
    <row r="79" spans="1:9" s="80" customFormat="1" x14ac:dyDescent="0.2">
      <c r="A79" s="76"/>
      <c r="B79" s="77"/>
      <c r="C79" s="69" t="s">
        <v>123</v>
      </c>
      <c r="D79" s="64">
        <v>1325</v>
      </c>
      <c r="E79" s="64"/>
      <c r="F79" s="64">
        <f>1325</f>
        <v>1325</v>
      </c>
      <c r="G79" s="64"/>
      <c r="H79" s="64">
        <f t="shared" si="9"/>
        <v>0</v>
      </c>
      <c r="I79" s="65"/>
    </row>
    <row r="80" spans="1:9" s="80" customFormat="1" x14ac:dyDescent="0.2">
      <c r="A80" s="76"/>
      <c r="B80" s="77"/>
      <c r="C80" s="69" t="s">
        <v>124</v>
      </c>
      <c r="D80" s="64">
        <v>10908</v>
      </c>
      <c r="E80" s="64"/>
      <c r="F80" s="64">
        <f>545.4+545.4+545.4+545.4+545.4</f>
        <v>2727</v>
      </c>
      <c r="G80" s="64"/>
      <c r="H80" s="64">
        <f t="shared" si="9"/>
        <v>8181</v>
      </c>
      <c r="I80" s="65"/>
    </row>
    <row r="81" spans="1:9" s="80" customFormat="1" ht="13.5" thickBot="1" x14ac:dyDescent="0.25">
      <c r="A81" s="76"/>
      <c r="B81" s="77"/>
      <c r="C81" s="96" t="s">
        <v>111</v>
      </c>
      <c r="D81" s="72">
        <f>SUM(D77:D80)</f>
        <v>38849</v>
      </c>
      <c r="E81" s="211"/>
      <c r="F81" s="72">
        <f>SUM(F77:F80)</f>
        <v>30668</v>
      </c>
      <c r="G81" s="211"/>
      <c r="H81" s="72">
        <f>SUM(H77:H80)</f>
        <v>8181</v>
      </c>
      <c r="I81" s="65"/>
    </row>
    <row r="82" spans="1:9" s="80" customFormat="1" ht="13.5" thickTop="1" x14ac:dyDescent="0.2">
      <c r="A82" s="76"/>
      <c r="B82" s="77"/>
      <c r="C82" s="78"/>
      <c r="D82" s="65"/>
      <c r="E82" s="79"/>
      <c r="H82" s="65"/>
      <c r="I82" s="65"/>
    </row>
    <row r="83" spans="1:9" s="80" customFormat="1" x14ac:dyDescent="0.2">
      <c r="A83" s="76"/>
      <c r="B83" s="77"/>
      <c r="C83" s="78"/>
      <c r="D83" s="65"/>
      <c r="E83" s="79"/>
      <c r="H83" s="65"/>
      <c r="I83" s="65"/>
    </row>
    <row r="84" spans="1:9" s="80" customFormat="1" x14ac:dyDescent="0.2">
      <c r="A84" s="76"/>
      <c r="B84" s="77"/>
      <c r="C84" s="96" t="s">
        <v>131</v>
      </c>
      <c r="D84" s="45"/>
      <c r="E84" s="74"/>
      <c r="F84" s="75"/>
      <c r="G84" s="75"/>
      <c r="H84" s="45"/>
      <c r="I84" s="65"/>
    </row>
    <row r="85" spans="1:9" s="80" customFormat="1" x14ac:dyDescent="0.2">
      <c r="A85" s="76"/>
      <c r="B85" s="77"/>
      <c r="C85" s="69" t="s">
        <v>121</v>
      </c>
      <c r="D85" s="64">
        <v>13668</v>
      </c>
      <c r="E85" s="64"/>
      <c r="F85" s="64">
        <f>6834+6834</f>
        <v>13668</v>
      </c>
      <c r="G85" s="64"/>
      <c r="H85" s="64">
        <f>D85-F85</f>
        <v>0</v>
      </c>
      <c r="I85" s="65"/>
    </row>
    <row r="86" spans="1:9" s="80" customFormat="1" x14ac:dyDescent="0.2">
      <c r="A86" s="76"/>
      <c r="B86" s="77"/>
      <c r="C86" s="69" t="s">
        <v>122</v>
      </c>
      <c r="D86" s="64">
        <v>12948</v>
      </c>
      <c r="E86" s="64"/>
      <c r="F86" s="64">
        <v>12948</v>
      </c>
      <c r="G86" s="64"/>
      <c r="H86" s="64">
        <f t="shared" ref="H86:H88" si="10">D86-F86</f>
        <v>0</v>
      </c>
      <c r="I86" s="65"/>
    </row>
    <row r="87" spans="1:9" s="80" customFormat="1" x14ac:dyDescent="0.2">
      <c r="A87" s="76"/>
      <c r="B87" s="77"/>
      <c r="C87" s="69" t="s">
        <v>123</v>
      </c>
      <c r="D87" s="64">
        <v>1325</v>
      </c>
      <c r="E87" s="64"/>
      <c r="F87" s="64">
        <f>1325</f>
        <v>1325</v>
      </c>
      <c r="G87" s="64"/>
      <c r="H87" s="64">
        <f t="shared" si="10"/>
        <v>0</v>
      </c>
      <c r="I87" s="65"/>
    </row>
    <row r="88" spans="1:9" s="80" customFormat="1" x14ac:dyDescent="0.2">
      <c r="A88" s="76"/>
      <c r="B88" s="77"/>
      <c r="C88" s="69" t="s">
        <v>124</v>
      </c>
      <c r="D88" s="64">
        <v>10908</v>
      </c>
      <c r="E88" s="64"/>
      <c r="F88" s="64">
        <f>545.4+545.4+545.4+545.4+545.4</f>
        <v>2727</v>
      </c>
      <c r="G88" s="64"/>
      <c r="H88" s="64">
        <f t="shared" si="10"/>
        <v>8181</v>
      </c>
      <c r="I88" s="65"/>
    </row>
    <row r="89" spans="1:9" s="80" customFormat="1" ht="13.5" thickBot="1" x14ac:dyDescent="0.25">
      <c r="A89" s="76"/>
      <c r="B89" s="77"/>
      <c r="C89" s="96" t="s">
        <v>111</v>
      </c>
      <c r="D89" s="72">
        <f>SUM(D85:D88)</f>
        <v>38849</v>
      </c>
      <c r="E89" s="211"/>
      <c r="F89" s="72">
        <f>SUM(F85:F88)</f>
        <v>30668</v>
      </c>
      <c r="G89" s="211"/>
      <c r="H89" s="72">
        <f>SUM(H85:H88)</f>
        <v>8181</v>
      </c>
      <c r="I89" s="65"/>
    </row>
    <row r="90" spans="1:9" s="80" customFormat="1" ht="13.5" thickTop="1" x14ac:dyDescent="0.2">
      <c r="A90" s="76"/>
      <c r="B90" s="77"/>
      <c r="C90" s="78"/>
      <c r="D90" s="65"/>
      <c r="E90" s="79"/>
      <c r="H90" s="65"/>
      <c r="I90" s="65"/>
    </row>
    <row r="91" spans="1:9" s="80" customFormat="1" x14ac:dyDescent="0.2">
      <c r="A91" s="76"/>
      <c r="B91" s="77"/>
      <c r="C91" s="78"/>
      <c r="D91" s="65"/>
      <c r="E91" s="79"/>
      <c r="H91" s="65"/>
      <c r="I91" s="65"/>
    </row>
    <row r="92" spans="1:9" s="80" customFormat="1" x14ac:dyDescent="0.2">
      <c r="A92" s="76"/>
      <c r="B92" s="77"/>
      <c r="C92" s="96" t="s">
        <v>132</v>
      </c>
      <c r="D92" s="45"/>
      <c r="E92" s="74"/>
      <c r="F92" s="75"/>
      <c r="G92" s="75"/>
      <c r="H92" s="45"/>
      <c r="I92" s="65"/>
    </row>
    <row r="93" spans="1:9" s="80" customFormat="1" x14ac:dyDescent="0.2">
      <c r="A93" s="76"/>
      <c r="B93" s="77"/>
      <c r="C93" s="69" t="s">
        <v>121</v>
      </c>
      <c r="D93" s="64">
        <v>18370</v>
      </c>
      <c r="E93" s="64"/>
      <c r="F93" s="64">
        <f>9185+9185</f>
        <v>18370</v>
      </c>
      <c r="G93" s="64"/>
      <c r="H93" s="64">
        <f>D93-F93</f>
        <v>0</v>
      </c>
      <c r="I93" s="65"/>
    </row>
    <row r="94" spans="1:9" s="80" customFormat="1" x14ac:dyDescent="0.2">
      <c r="A94" s="76"/>
      <c r="B94" s="77"/>
      <c r="C94" s="69" t="s">
        <v>122</v>
      </c>
      <c r="D94" s="64">
        <v>15570</v>
      </c>
      <c r="E94" s="64"/>
      <c r="F94" s="64">
        <v>15570</v>
      </c>
      <c r="G94" s="64"/>
      <c r="H94" s="64">
        <f t="shared" ref="H94:H96" si="11">D94-F94</f>
        <v>0</v>
      </c>
      <c r="I94" s="65"/>
    </row>
    <row r="95" spans="1:9" s="80" customFormat="1" x14ac:dyDescent="0.2">
      <c r="A95" s="76"/>
      <c r="B95" s="77"/>
      <c r="C95" s="69" t="s">
        <v>123</v>
      </c>
      <c r="D95" s="64">
        <v>1745</v>
      </c>
      <c r="E95" s="64"/>
      <c r="F95" s="64">
        <f>1745</f>
        <v>1745</v>
      </c>
      <c r="G95" s="64"/>
      <c r="H95" s="64">
        <f t="shared" si="11"/>
        <v>0</v>
      </c>
      <c r="I95" s="65"/>
    </row>
    <row r="96" spans="1:9" s="80" customFormat="1" x14ac:dyDescent="0.2">
      <c r="A96" s="76"/>
      <c r="B96" s="77"/>
      <c r="C96" s="69" t="s">
        <v>124</v>
      </c>
      <c r="D96" s="64">
        <v>12241</v>
      </c>
      <c r="E96" s="64"/>
      <c r="F96" s="64">
        <f>612.05+612.05+612.05+612.05+612.05</f>
        <v>3060.25</v>
      </c>
      <c r="G96" s="64"/>
      <c r="H96" s="64">
        <f t="shared" si="11"/>
        <v>9180.75</v>
      </c>
      <c r="I96" s="65"/>
    </row>
    <row r="97" spans="1:9" s="80" customFormat="1" ht="13.5" thickBot="1" x14ac:dyDescent="0.25">
      <c r="A97" s="76"/>
      <c r="B97" s="77"/>
      <c r="C97" s="96" t="s">
        <v>111</v>
      </c>
      <c r="D97" s="72">
        <f>SUM(D93:D96)</f>
        <v>47926</v>
      </c>
      <c r="E97" s="211"/>
      <c r="F97" s="72">
        <f>SUM(F93:F96)</f>
        <v>38745.25</v>
      </c>
      <c r="G97" s="211"/>
      <c r="H97" s="72">
        <f>SUM(H93:H96)</f>
        <v>9180.75</v>
      </c>
      <c r="I97" s="65"/>
    </row>
    <row r="98" spans="1:9" s="80" customFormat="1" ht="13.5" thickTop="1" x14ac:dyDescent="0.2">
      <c r="A98" s="76"/>
      <c r="B98" s="77"/>
      <c r="C98" s="78"/>
      <c r="D98" s="65"/>
      <c r="E98" s="79"/>
      <c r="H98" s="65"/>
      <c r="I98" s="65"/>
    </row>
    <row r="99" spans="1:9" s="80" customFormat="1" x14ac:dyDescent="0.2">
      <c r="A99" s="76"/>
      <c r="B99" s="77"/>
      <c r="C99" s="78"/>
      <c r="D99" s="65"/>
      <c r="E99" s="79"/>
      <c r="H99" s="65"/>
      <c r="I99" s="65"/>
    </row>
    <row r="100" spans="1:9" s="80" customFormat="1" x14ac:dyDescent="0.2">
      <c r="A100" s="76"/>
      <c r="B100" s="77"/>
      <c r="C100" s="69" t="s">
        <v>134</v>
      </c>
      <c r="D100" s="64">
        <v>38849</v>
      </c>
      <c r="E100" s="79"/>
      <c r="F100" s="75">
        <f>6832.4+6835.6+12948+1325+545.03+547.77+545.25+551.26+547.07</f>
        <v>30677.379999999997</v>
      </c>
      <c r="H100" s="64">
        <f>D100-F100</f>
        <v>8171.6200000000026</v>
      </c>
      <c r="I100" s="65"/>
    </row>
    <row r="101" spans="1:9" s="80" customFormat="1" ht="13.5" thickBot="1" x14ac:dyDescent="0.25">
      <c r="A101" s="76"/>
      <c r="B101" s="77"/>
      <c r="C101" s="96" t="s">
        <v>133</v>
      </c>
      <c r="D101" s="72">
        <f>SUM(D33,D41,D49,D57,D65,D73,D81,D89,D97,D100)</f>
        <v>416854</v>
      </c>
      <c r="E101" s="212"/>
      <c r="F101" s="72">
        <f t="shared" ref="F101" si="12">SUM(F33,F41,F49,F57,F65,F73,F81,F89,F97,F100)</f>
        <v>332569.38</v>
      </c>
      <c r="G101" s="212"/>
      <c r="H101" s="72">
        <f>SUM(H33,H41,H49,H57,H65,H73,H81,H89,H97,H100)</f>
        <v>84284.62</v>
      </c>
      <c r="I101" s="65"/>
    </row>
    <row r="102" spans="1:9" s="80" customFormat="1" ht="13.5" thickTop="1" x14ac:dyDescent="0.2">
      <c r="A102" s="76"/>
      <c r="B102" s="77"/>
      <c r="C102" s="78"/>
      <c r="D102" s="65"/>
      <c r="E102" s="79"/>
      <c r="H102" s="65"/>
      <c r="I102" s="65"/>
    </row>
    <row r="103" spans="1:9" s="80" customFormat="1" x14ac:dyDescent="0.2">
      <c r="A103" s="76"/>
      <c r="B103" s="77"/>
      <c r="C103" s="78"/>
      <c r="D103" s="65"/>
      <c r="E103" s="79"/>
      <c r="H103" s="65"/>
      <c r="I103" s="65"/>
    </row>
    <row r="104" spans="1:9" s="80" customFormat="1" x14ac:dyDescent="0.2">
      <c r="A104" s="76"/>
      <c r="B104" s="77"/>
      <c r="C104" s="78"/>
      <c r="D104" s="65"/>
      <c r="E104" s="79"/>
      <c r="H104" s="65"/>
      <c r="I104" s="65"/>
    </row>
    <row r="105" spans="1:9" s="80" customFormat="1" x14ac:dyDescent="0.2">
      <c r="A105" s="76"/>
      <c r="B105" s="77"/>
      <c r="C105" s="78"/>
      <c r="D105" s="65"/>
      <c r="E105" s="79"/>
      <c r="H105" s="65"/>
      <c r="I105" s="65"/>
    </row>
    <row r="106" spans="1:9" s="80" customFormat="1" x14ac:dyDescent="0.2">
      <c r="A106" s="76"/>
      <c r="B106" s="77"/>
      <c r="C106" s="78"/>
      <c r="D106" s="65"/>
      <c r="E106" s="79"/>
      <c r="H106" s="65"/>
      <c r="I106" s="65"/>
    </row>
    <row r="107" spans="1:9" s="80" customFormat="1" x14ac:dyDescent="0.2">
      <c r="A107" s="76"/>
      <c r="B107" s="77"/>
      <c r="C107" s="78"/>
      <c r="D107" s="65"/>
      <c r="E107" s="79"/>
      <c r="H107" s="65"/>
      <c r="I107" s="65"/>
    </row>
    <row r="108" spans="1:9" s="80" customFormat="1" x14ac:dyDescent="0.2">
      <c r="A108" s="76"/>
      <c r="B108" s="77"/>
      <c r="C108" s="78"/>
      <c r="D108" s="65"/>
      <c r="E108" s="79"/>
      <c r="H108" s="65"/>
      <c r="I108" s="65"/>
    </row>
    <row r="109" spans="1:9" s="80" customFormat="1" x14ac:dyDescent="0.2">
      <c r="A109" s="76"/>
      <c r="B109" s="77"/>
      <c r="C109" s="78"/>
      <c r="D109" s="65"/>
      <c r="E109" s="79"/>
      <c r="H109" s="65"/>
      <c r="I109" s="65"/>
    </row>
    <row r="110" spans="1:9" s="80" customFormat="1" x14ac:dyDescent="0.2">
      <c r="A110" s="76"/>
      <c r="B110" s="77"/>
      <c r="C110" s="78"/>
      <c r="D110" s="65"/>
      <c r="E110" s="79"/>
      <c r="H110" s="65"/>
      <c r="I110" s="65"/>
    </row>
    <row r="111" spans="1:9" s="80" customFormat="1" x14ac:dyDescent="0.2">
      <c r="A111" s="76"/>
      <c r="B111" s="77"/>
      <c r="C111" s="78"/>
      <c r="D111" s="65"/>
      <c r="E111" s="79"/>
      <c r="H111" s="65"/>
      <c r="I111" s="65"/>
    </row>
    <row r="112" spans="1:9"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sheetData>
  <pageMargins left="0.25" right="0.25" top="0.95" bottom="0.75" header="0.09" footer="0.3"/>
  <pageSetup scale="5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44"/>
  <sheetViews>
    <sheetView zoomScaleNormal="100" workbookViewId="0">
      <selection activeCell="N35" sqref="N35"/>
    </sheetView>
  </sheetViews>
  <sheetFormatPr defaultColWidth="11.42578125" defaultRowHeight="12.75" x14ac:dyDescent="0.2"/>
  <cols>
    <col min="1" max="1" width="24.5703125" style="76" customWidth="1"/>
    <col min="2" max="3" width="9.42578125" style="77" customWidth="1"/>
    <col min="4" max="4" width="36.85546875" style="78" customWidth="1"/>
    <col min="5" max="5" width="12.5703125" style="65" customWidth="1"/>
    <col min="6" max="6" width="13.5703125" style="80" customWidth="1"/>
    <col min="7" max="7" width="12.42578125" style="80" customWidth="1"/>
    <col min="8" max="8" width="10.5703125" style="80" customWidth="1"/>
    <col min="9" max="9" width="12.7109375" style="65" customWidth="1"/>
    <col min="10" max="16384" width="11.42578125" style="65"/>
  </cols>
  <sheetData>
    <row r="1" spans="1:10" s="35" customFormat="1" ht="24.75" customHeight="1" x14ac:dyDescent="0.25">
      <c r="A1" s="2" t="str">
        <f>'RECAP #9440.00'!B1</f>
        <v>DAS CC Elevator Replacements</v>
      </c>
      <c r="B1" s="3"/>
      <c r="C1" s="3"/>
      <c r="D1" s="4"/>
      <c r="E1" s="4"/>
      <c r="F1" s="4"/>
      <c r="G1" s="34"/>
      <c r="H1" s="34"/>
    </row>
    <row r="2" spans="1:10" s="35" customFormat="1" ht="15.75" x14ac:dyDescent="0.25">
      <c r="A2" s="6" t="str">
        <f>'RECAP #9440.00'!B2</f>
        <v>Project # 9440.00</v>
      </c>
      <c r="B2" s="5"/>
      <c r="C2" s="5"/>
      <c r="D2" s="4"/>
      <c r="E2" s="4"/>
      <c r="F2" s="4"/>
      <c r="G2" s="34"/>
      <c r="H2" s="34"/>
    </row>
    <row r="3" spans="1:10" s="35" customFormat="1" ht="15.75" x14ac:dyDescent="0.25">
      <c r="A3" s="7" t="str">
        <f>'RECAP #9440.00'!B3</f>
        <v>Program code 944000</v>
      </c>
      <c r="B3" s="5"/>
      <c r="C3" s="5"/>
      <c r="D3" s="4"/>
      <c r="E3" s="8" t="str">
        <f>'RECAP #9440.00'!E3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84</v>
      </c>
      <c r="F6" s="50"/>
      <c r="G6" s="51"/>
      <c r="H6" s="47"/>
      <c r="I6" s="42"/>
    </row>
    <row r="7" spans="1:10" s="35" customFormat="1" ht="15.75" x14ac:dyDescent="0.25">
      <c r="A7" s="13" t="str">
        <f>'RECAP #9440.00'!B6</f>
        <v>Project Manager - Brad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204">
        <v>75000</v>
      </c>
      <c r="F9" s="63">
        <f>E9</f>
        <v>75000</v>
      </c>
      <c r="G9" s="64"/>
      <c r="H9" s="64"/>
      <c r="I9" s="64">
        <f>F9</f>
        <v>75000</v>
      </c>
    </row>
    <row r="10" spans="1:10" x14ac:dyDescent="0.2">
      <c r="A10" s="205" t="s">
        <v>92</v>
      </c>
      <c r="B10" s="60">
        <v>45574</v>
      </c>
      <c r="C10" s="206">
        <v>2507</v>
      </c>
      <c r="D10" s="83" t="s">
        <v>101</v>
      </c>
      <c r="E10" s="63"/>
      <c r="F10" s="63">
        <f t="shared" ref="F10:F38" si="0">F9+E10</f>
        <v>75000</v>
      </c>
      <c r="G10" s="207">
        <f>32.59+11.92</f>
        <v>44.510000000000005</v>
      </c>
      <c r="H10" s="64">
        <f t="shared" ref="H10:H38" si="1">H9+G10</f>
        <v>44.510000000000005</v>
      </c>
      <c r="I10" s="64">
        <f t="shared" ref="I10:I38" si="2">I9-G10+E10</f>
        <v>74955.490000000005</v>
      </c>
    </row>
    <row r="11" spans="1:10" x14ac:dyDescent="0.2">
      <c r="A11" s="205" t="s">
        <v>92</v>
      </c>
      <c r="B11" s="60">
        <v>45574</v>
      </c>
      <c r="C11" s="206">
        <v>9500</v>
      </c>
      <c r="D11" s="83" t="s">
        <v>102</v>
      </c>
      <c r="E11" s="63"/>
      <c r="F11" s="63">
        <f t="shared" si="0"/>
        <v>75000</v>
      </c>
      <c r="G11" s="207">
        <f>25.5+369.6</f>
        <v>395.1</v>
      </c>
      <c r="H11" s="64">
        <f t="shared" si="1"/>
        <v>439.61</v>
      </c>
      <c r="I11" s="64">
        <f t="shared" si="2"/>
        <v>74560.39</v>
      </c>
    </row>
    <row r="12" spans="1:10" x14ac:dyDescent="0.2">
      <c r="A12" s="205" t="s">
        <v>103</v>
      </c>
      <c r="B12" s="60">
        <v>45603</v>
      </c>
      <c r="C12" s="206">
        <v>2507</v>
      </c>
      <c r="D12" s="83" t="s">
        <v>104</v>
      </c>
      <c r="E12" s="63"/>
      <c r="F12" s="63">
        <f t="shared" si="0"/>
        <v>75000</v>
      </c>
      <c r="G12" s="207">
        <f>13.97+28.75</f>
        <v>42.72</v>
      </c>
      <c r="H12" s="64">
        <f t="shared" si="1"/>
        <v>482.33000000000004</v>
      </c>
      <c r="I12" s="64">
        <f t="shared" si="2"/>
        <v>74517.67</v>
      </c>
    </row>
    <row r="13" spans="1:10" x14ac:dyDescent="0.2">
      <c r="A13" s="205" t="s">
        <v>103</v>
      </c>
      <c r="B13" s="60">
        <v>45603</v>
      </c>
      <c r="C13" s="206">
        <v>9500</v>
      </c>
      <c r="D13" s="83" t="s">
        <v>105</v>
      </c>
      <c r="E13" s="63"/>
      <c r="F13" s="63">
        <f t="shared" si="0"/>
        <v>75000</v>
      </c>
      <c r="G13" s="207">
        <f>22.5+260.7</f>
        <v>283.2</v>
      </c>
      <c r="H13" s="64">
        <f t="shared" si="1"/>
        <v>765.53</v>
      </c>
      <c r="I13" s="64">
        <f t="shared" si="2"/>
        <v>74234.47</v>
      </c>
    </row>
    <row r="14" spans="1:10" ht="15" x14ac:dyDescent="0.25">
      <c r="A14" s="205" t="s">
        <v>108</v>
      </c>
      <c r="B14" s="60">
        <v>45635</v>
      </c>
      <c r="C14" s="206">
        <v>2507</v>
      </c>
      <c r="D14" s="210" t="s">
        <v>109</v>
      </c>
      <c r="E14" s="63"/>
      <c r="F14" s="63">
        <f t="shared" si="0"/>
        <v>75000</v>
      </c>
      <c r="G14" s="207">
        <f>51.64+93.26</f>
        <v>144.9</v>
      </c>
      <c r="H14" s="64">
        <f t="shared" si="1"/>
        <v>910.43</v>
      </c>
      <c r="I14" s="64">
        <f t="shared" si="2"/>
        <v>74089.570000000007</v>
      </c>
    </row>
    <row r="15" spans="1:10" ht="15" x14ac:dyDescent="0.25">
      <c r="A15" s="205" t="s">
        <v>108</v>
      </c>
      <c r="B15" s="60">
        <v>45635</v>
      </c>
      <c r="C15" s="206">
        <v>9500</v>
      </c>
      <c r="D15" s="209" t="s">
        <v>110</v>
      </c>
      <c r="E15" s="63"/>
      <c r="F15" s="63">
        <f t="shared" si="0"/>
        <v>75000</v>
      </c>
      <c r="G15" s="207">
        <f>64.5+897.6</f>
        <v>962.1</v>
      </c>
      <c r="H15" s="64">
        <f t="shared" si="1"/>
        <v>1872.53</v>
      </c>
      <c r="I15" s="64">
        <f t="shared" si="2"/>
        <v>73127.47</v>
      </c>
    </row>
    <row r="16" spans="1:10" x14ac:dyDescent="0.2">
      <c r="A16" s="205" t="s">
        <v>140</v>
      </c>
      <c r="B16" s="214">
        <v>45666</v>
      </c>
      <c r="C16" s="215">
        <v>2507</v>
      </c>
      <c r="D16" s="216" t="s">
        <v>141</v>
      </c>
      <c r="E16" s="63"/>
      <c r="F16" s="63">
        <f t="shared" si="0"/>
        <v>75000</v>
      </c>
      <c r="G16" s="207">
        <f>65.61+79.24</f>
        <v>144.85</v>
      </c>
      <c r="H16" s="64">
        <f t="shared" si="1"/>
        <v>2017.3799999999999</v>
      </c>
      <c r="I16" s="64">
        <f t="shared" si="2"/>
        <v>72982.62</v>
      </c>
    </row>
    <row r="17" spans="1:9" x14ac:dyDescent="0.2">
      <c r="A17" s="205" t="s">
        <v>140</v>
      </c>
      <c r="B17" s="214">
        <v>45666</v>
      </c>
      <c r="C17" s="215">
        <v>9500</v>
      </c>
      <c r="D17" s="217" t="s">
        <v>142</v>
      </c>
      <c r="E17" s="63"/>
      <c r="F17" s="63">
        <f t="shared" si="0"/>
        <v>75000</v>
      </c>
      <c r="G17" s="207">
        <f>108+1340.9</f>
        <v>1448.9</v>
      </c>
      <c r="H17" s="64">
        <f t="shared" si="1"/>
        <v>3466.2799999999997</v>
      </c>
      <c r="I17" s="64">
        <f t="shared" si="2"/>
        <v>71533.72</v>
      </c>
    </row>
    <row r="18" spans="1:9" x14ac:dyDescent="0.2">
      <c r="A18" s="205" t="s">
        <v>154</v>
      </c>
      <c r="B18" s="214">
        <v>45699</v>
      </c>
      <c r="C18" s="215">
        <v>2507</v>
      </c>
      <c r="D18" s="216" t="s">
        <v>155</v>
      </c>
      <c r="E18" s="63"/>
      <c r="F18" s="63">
        <f t="shared" si="0"/>
        <v>75000</v>
      </c>
      <c r="G18" s="207">
        <f>54.61+68.02</f>
        <v>122.63</v>
      </c>
      <c r="H18" s="64">
        <f t="shared" si="1"/>
        <v>3588.91</v>
      </c>
      <c r="I18" s="64">
        <f t="shared" si="2"/>
        <v>71411.09</v>
      </c>
    </row>
    <row r="19" spans="1:9" x14ac:dyDescent="0.2">
      <c r="A19" s="205" t="s">
        <v>154</v>
      </c>
      <c r="B19" s="214">
        <v>45699</v>
      </c>
      <c r="C19" s="215">
        <v>9500</v>
      </c>
      <c r="D19" s="217" t="s">
        <v>156</v>
      </c>
      <c r="E19" s="63"/>
      <c r="F19" s="63">
        <f t="shared" si="0"/>
        <v>75000</v>
      </c>
      <c r="G19" s="207">
        <f>80+1224.3</f>
        <v>1304.3</v>
      </c>
      <c r="H19" s="64">
        <f t="shared" si="1"/>
        <v>4893.21</v>
      </c>
      <c r="I19" s="64">
        <f t="shared" si="2"/>
        <v>70106.789999999994</v>
      </c>
    </row>
    <row r="20" spans="1:9" x14ac:dyDescent="0.2">
      <c r="A20" s="205" t="s">
        <v>179</v>
      </c>
      <c r="B20" s="218">
        <v>45723</v>
      </c>
      <c r="C20" s="219">
        <v>2507</v>
      </c>
      <c r="D20" s="216" t="s">
        <v>180</v>
      </c>
      <c r="E20" s="63"/>
      <c r="F20" s="63">
        <f t="shared" si="0"/>
        <v>75000</v>
      </c>
      <c r="G20" s="207">
        <f>43.18+157.07</f>
        <v>200.25</v>
      </c>
      <c r="H20" s="64">
        <f t="shared" si="1"/>
        <v>5093.46</v>
      </c>
      <c r="I20" s="64">
        <f t="shared" si="2"/>
        <v>69906.539999999994</v>
      </c>
    </row>
    <row r="21" spans="1:9" x14ac:dyDescent="0.2">
      <c r="A21" s="205" t="s">
        <v>179</v>
      </c>
      <c r="B21" s="218">
        <v>45723</v>
      </c>
      <c r="C21" s="219">
        <v>9500</v>
      </c>
      <c r="D21" s="217" t="s">
        <v>181</v>
      </c>
      <c r="E21" s="63"/>
      <c r="F21" s="63">
        <f t="shared" si="0"/>
        <v>75000</v>
      </c>
      <c r="G21" s="207">
        <f>60.5+806.3</f>
        <v>866.8</v>
      </c>
      <c r="H21" s="64">
        <f t="shared" si="1"/>
        <v>5960.26</v>
      </c>
      <c r="I21" s="64">
        <f t="shared" si="2"/>
        <v>69039.739999999991</v>
      </c>
    </row>
    <row r="22" spans="1:9" x14ac:dyDescent="0.2">
      <c r="A22" s="205" t="s">
        <v>187</v>
      </c>
      <c r="B22" s="218">
        <v>45756</v>
      </c>
      <c r="C22" s="219">
        <v>2507</v>
      </c>
      <c r="D22" s="216" t="s">
        <v>188</v>
      </c>
      <c r="E22" s="63"/>
      <c r="F22" s="63">
        <f t="shared" si="0"/>
        <v>75000</v>
      </c>
      <c r="G22" s="207">
        <f>55.45+81.34</f>
        <v>136.79000000000002</v>
      </c>
      <c r="H22" s="64">
        <f t="shared" si="1"/>
        <v>6097.05</v>
      </c>
      <c r="I22" s="64">
        <f t="shared" si="2"/>
        <v>68902.95</v>
      </c>
    </row>
    <row r="23" spans="1:9" x14ac:dyDescent="0.2">
      <c r="A23" s="205" t="s">
        <v>187</v>
      </c>
      <c r="B23" s="218">
        <v>45756</v>
      </c>
      <c r="C23" s="219">
        <v>9500</v>
      </c>
      <c r="D23" s="217" t="s">
        <v>189</v>
      </c>
      <c r="E23" s="63"/>
      <c r="F23" s="63">
        <f t="shared" si="0"/>
        <v>75000</v>
      </c>
      <c r="G23" s="207">
        <f>76.5+902</f>
        <v>978.5</v>
      </c>
      <c r="H23" s="64">
        <f t="shared" si="1"/>
        <v>7075.55</v>
      </c>
      <c r="I23" s="64">
        <f t="shared" si="2"/>
        <v>67924.45</v>
      </c>
    </row>
    <row r="24" spans="1:9" x14ac:dyDescent="0.2">
      <c r="A24" s="205" t="s">
        <v>222</v>
      </c>
      <c r="B24" s="218">
        <v>45786</v>
      </c>
      <c r="C24" s="219">
        <v>2507</v>
      </c>
      <c r="D24" s="216" t="s">
        <v>223</v>
      </c>
      <c r="E24" s="63"/>
      <c r="F24" s="63">
        <f t="shared" si="0"/>
        <v>75000</v>
      </c>
      <c r="G24" s="207">
        <f>83.81+112.19</f>
        <v>196</v>
      </c>
      <c r="H24" s="64">
        <f t="shared" si="1"/>
        <v>7271.55</v>
      </c>
      <c r="I24" s="64">
        <f t="shared" si="2"/>
        <v>67728.45</v>
      </c>
    </row>
    <row r="25" spans="1:9" x14ac:dyDescent="0.2">
      <c r="A25" s="205" t="s">
        <v>222</v>
      </c>
      <c r="B25" s="218">
        <v>45786</v>
      </c>
      <c r="C25" s="219">
        <v>9500</v>
      </c>
      <c r="D25" s="217" t="s">
        <v>224</v>
      </c>
      <c r="E25" s="63"/>
      <c r="F25" s="63">
        <f t="shared" si="0"/>
        <v>75000</v>
      </c>
      <c r="G25" s="207">
        <f>105+1243</f>
        <v>1348</v>
      </c>
      <c r="H25" s="64">
        <f t="shared" si="1"/>
        <v>8619.5499999999993</v>
      </c>
      <c r="I25" s="64">
        <f t="shared" si="2"/>
        <v>66380.45</v>
      </c>
    </row>
    <row r="26" spans="1:9" x14ac:dyDescent="0.2">
      <c r="A26" s="205" t="s">
        <v>252</v>
      </c>
      <c r="B26" s="218">
        <v>45817</v>
      </c>
      <c r="C26" s="219">
        <v>2507</v>
      </c>
      <c r="D26" s="216" t="s">
        <v>253</v>
      </c>
      <c r="E26" s="63"/>
      <c r="F26" s="63">
        <f t="shared" si="0"/>
        <v>75000</v>
      </c>
      <c r="G26" s="207">
        <f>171.86+140.94</f>
        <v>312.8</v>
      </c>
      <c r="H26" s="64">
        <f t="shared" si="1"/>
        <v>8932.3499999999985</v>
      </c>
      <c r="I26" s="64">
        <f t="shared" si="2"/>
        <v>66067.649999999994</v>
      </c>
    </row>
    <row r="27" spans="1:9" x14ac:dyDescent="0.2">
      <c r="A27" s="205" t="s">
        <v>252</v>
      </c>
      <c r="B27" s="218">
        <v>45817</v>
      </c>
      <c r="C27" s="219">
        <v>9500</v>
      </c>
      <c r="D27" s="217" t="s">
        <v>254</v>
      </c>
      <c r="E27" s="63"/>
      <c r="F27" s="63">
        <f t="shared" si="0"/>
        <v>75000</v>
      </c>
      <c r="G27" s="207">
        <f>199.5+2247.3</f>
        <v>2446.8000000000002</v>
      </c>
      <c r="H27" s="64">
        <f t="shared" si="1"/>
        <v>11379.149999999998</v>
      </c>
      <c r="I27" s="64">
        <f t="shared" si="2"/>
        <v>63620.849999999991</v>
      </c>
    </row>
    <row r="28" spans="1:9" x14ac:dyDescent="0.2">
      <c r="A28" s="205" t="s">
        <v>267</v>
      </c>
      <c r="B28" s="218">
        <v>45848</v>
      </c>
      <c r="C28" s="219">
        <v>2507</v>
      </c>
      <c r="D28" s="216" t="s">
        <v>268</v>
      </c>
      <c r="E28" s="63"/>
      <c r="F28" s="63">
        <f t="shared" si="0"/>
        <v>75000</v>
      </c>
      <c r="G28" s="207">
        <f>92.7+107.98</f>
        <v>200.68</v>
      </c>
      <c r="H28" s="64">
        <f t="shared" si="1"/>
        <v>11579.829999999998</v>
      </c>
      <c r="I28" s="64">
        <f t="shared" si="2"/>
        <v>63420.169999999991</v>
      </c>
    </row>
    <row r="29" spans="1:9" x14ac:dyDescent="0.2">
      <c r="A29" s="205" t="s">
        <v>267</v>
      </c>
      <c r="B29" s="218">
        <v>45848</v>
      </c>
      <c r="C29" s="219">
        <v>9500</v>
      </c>
      <c r="D29" s="217" t="s">
        <v>269</v>
      </c>
      <c r="E29" s="63"/>
      <c r="F29" s="63">
        <f t="shared" si="0"/>
        <v>75000</v>
      </c>
      <c r="G29" s="207">
        <f>137.5+1419</f>
        <v>1556.5</v>
      </c>
      <c r="H29" s="64">
        <f t="shared" si="1"/>
        <v>13136.329999999998</v>
      </c>
      <c r="I29" s="64">
        <f t="shared" si="2"/>
        <v>61863.669999999991</v>
      </c>
    </row>
    <row r="30" spans="1:9" ht="12.75" customHeight="1" x14ac:dyDescent="0.2">
      <c r="A30" s="205" t="s">
        <v>314</v>
      </c>
      <c r="B30" s="60">
        <v>45911</v>
      </c>
      <c r="C30" s="219">
        <v>2507</v>
      </c>
      <c r="D30" s="291" t="s">
        <v>315</v>
      </c>
      <c r="E30" s="63"/>
      <c r="F30" s="63">
        <f t="shared" si="0"/>
        <v>75000</v>
      </c>
      <c r="G30" s="207">
        <v>144.13999999999999</v>
      </c>
      <c r="H30" s="64">
        <f t="shared" si="1"/>
        <v>13280.469999999998</v>
      </c>
      <c r="I30" s="64">
        <f t="shared" si="2"/>
        <v>61719.529999999992</v>
      </c>
    </row>
    <row r="31" spans="1:9" ht="12.75" customHeight="1" x14ac:dyDescent="0.2">
      <c r="A31" s="205" t="s">
        <v>314</v>
      </c>
      <c r="B31" s="60">
        <v>45911</v>
      </c>
      <c r="C31" s="219">
        <v>9500</v>
      </c>
      <c r="D31" s="291" t="s">
        <v>315</v>
      </c>
      <c r="E31" s="63"/>
      <c r="F31" s="63">
        <f t="shared" si="0"/>
        <v>75000</v>
      </c>
      <c r="G31" s="207">
        <v>1595.5</v>
      </c>
      <c r="H31" s="64">
        <f t="shared" si="1"/>
        <v>14875.969999999998</v>
      </c>
      <c r="I31" s="64">
        <f t="shared" si="2"/>
        <v>60124.029999999992</v>
      </c>
    </row>
    <row r="32" spans="1:9" ht="12.75" customHeight="1" x14ac:dyDescent="0.2">
      <c r="A32" s="205" t="s">
        <v>320</v>
      </c>
      <c r="B32" s="218">
        <v>45908</v>
      </c>
      <c r="C32" s="219">
        <v>2507</v>
      </c>
      <c r="D32" s="216" t="s">
        <v>321</v>
      </c>
      <c r="E32" s="63"/>
      <c r="F32" s="63">
        <f t="shared" si="0"/>
        <v>75000</v>
      </c>
      <c r="G32" s="207">
        <f>45.4+65.81</f>
        <v>111.21000000000001</v>
      </c>
      <c r="H32" s="64">
        <f t="shared" si="1"/>
        <v>14987.179999999997</v>
      </c>
      <c r="I32" s="64">
        <f t="shared" si="2"/>
        <v>60012.819999999992</v>
      </c>
    </row>
    <row r="33" spans="1:9" ht="12.75" customHeight="1" x14ac:dyDescent="0.2">
      <c r="A33" s="205" t="s">
        <v>320</v>
      </c>
      <c r="B33" s="218">
        <v>45908</v>
      </c>
      <c r="C33" s="219">
        <v>9500</v>
      </c>
      <c r="D33" s="217" t="s">
        <v>322</v>
      </c>
      <c r="E33" s="63"/>
      <c r="F33" s="63">
        <f t="shared" si="0"/>
        <v>75000</v>
      </c>
      <c r="G33" s="207">
        <f>51.5+810.7</f>
        <v>862.2</v>
      </c>
      <c r="H33" s="64">
        <f t="shared" si="1"/>
        <v>15849.379999999997</v>
      </c>
      <c r="I33" s="64">
        <f t="shared" si="2"/>
        <v>59150.619999999995</v>
      </c>
    </row>
    <row r="34" spans="1:9" ht="12.75" customHeight="1" x14ac:dyDescent="0.2">
      <c r="A34" s="293" t="s">
        <v>335</v>
      </c>
      <c r="B34" s="294">
        <v>45937</v>
      </c>
      <c r="C34" s="295" t="s">
        <v>336</v>
      </c>
      <c r="D34" s="216" t="s">
        <v>337</v>
      </c>
      <c r="E34" s="63"/>
      <c r="F34" s="63">
        <f t="shared" si="0"/>
        <v>75000</v>
      </c>
      <c r="G34" s="207">
        <v>209.29</v>
      </c>
      <c r="H34" s="64">
        <f t="shared" si="1"/>
        <v>16058.669999999998</v>
      </c>
      <c r="I34" s="64">
        <f t="shared" si="2"/>
        <v>58941.329999999994</v>
      </c>
    </row>
    <row r="35" spans="1:9" ht="12.75" customHeight="1" x14ac:dyDescent="0.25">
      <c r="A35" s="293" t="s">
        <v>335</v>
      </c>
      <c r="B35" s="294">
        <v>45937</v>
      </c>
      <c r="C35" s="296">
        <v>9500</v>
      </c>
      <c r="D35" s="84" t="s">
        <v>338</v>
      </c>
      <c r="E35" s="63"/>
      <c r="F35" s="63">
        <f t="shared" si="0"/>
        <v>75000</v>
      </c>
      <c r="G35" s="207">
        <v>1093.2</v>
      </c>
      <c r="H35" s="64">
        <f t="shared" si="1"/>
        <v>17151.87</v>
      </c>
      <c r="I35" s="64">
        <f t="shared" si="2"/>
        <v>57848.13</v>
      </c>
    </row>
    <row r="36" spans="1:9" ht="12.75" customHeight="1" x14ac:dyDescent="0.2">
      <c r="A36" s="205"/>
      <c r="B36" s="218"/>
      <c r="C36" s="219"/>
      <c r="D36" s="217"/>
      <c r="E36" s="63"/>
      <c r="F36" s="63">
        <f t="shared" si="0"/>
        <v>75000</v>
      </c>
      <c r="G36" s="207"/>
      <c r="H36" s="64">
        <f t="shared" si="1"/>
        <v>17151.87</v>
      </c>
      <c r="I36" s="64">
        <f t="shared" si="2"/>
        <v>57848.13</v>
      </c>
    </row>
    <row r="37" spans="1:9" ht="12.75" customHeight="1" x14ac:dyDescent="0.2">
      <c r="A37" s="205"/>
      <c r="B37" s="218"/>
      <c r="C37" s="219"/>
      <c r="D37" s="217"/>
      <c r="E37" s="63"/>
      <c r="F37" s="63">
        <f t="shared" si="0"/>
        <v>75000</v>
      </c>
      <c r="G37" s="207"/>
      <c r="H37" s="64">
        <f t="shared" si="1"/>
        <v>17151.87</v>
      </c>
      <c r="I37" s="64">
        <f t="shared" si="2"/>
        <v>57848.13</v>
      </c>
    </row>
    <row r="38" spans="1:9" ht="12.75" customHeight="1" x14ac:dyDescent="0.2">
      <c r="A38" s="205"/>
      <c r="B38" s="218"/>
      <c r="C38" s="219"/>
      <c r="D38" s="217"/>
      <c r="E38" s="63"/>
      <c r="F38" s="63">
        <f t="shared" si="0"/>
        <v>75000</v>
      </c>
      <c r="G38" s="67"/>
      <c r="H38" s="64">
        <f t="shared" si="1"/>
        <v>17151.87</v>
      </c>
      <c r="I38" s="64">
        <f t="shared" si="2"/>
        <v>57848.13</v>
      </c>
    </row>
    <row r="39" spans="1:9" x14ac:dyDescent="0.2">
      <c r="A39" s="73"/>
      <c r="B39" s="61"/>
      <c r="C39" s="61"/>
      <c r="D39" s="69"/>
      <c r="E39" s="64"/>
      <c r="F39" s="63"/>
      <c r="G39" s="64"/>
      <c r="H39" s="64"/>
      <c r="I39" s="64"/>
    </row>
    <row r="40" spans="1:9" ht="13.5" thickBot="1" x14ac:dyDescent="0.25">
      <c r="A40" s="73"/>
      <c r="B40" s="70"/>
      <c r="C40" s="70"/>
      <c r="D40" s="71" t="s">
        <v>28</v>
      </c>
      <c r="E40" s="72">
        <f>SUM(E9:E39)</f>
        <v>75000</v>
      </c>
      <c r="F40" s="72"/>
      <c r="G40" s="72">
        <f>SUM(G9:G39)</f>
        <v>17151.87</v>
      </c>
      <c r="H40" s="72"/>
      <c r="I40" s="72">
        <f>E40-G40</f>
        <v>57848.130000000005</v>
      </c>
    </row>
    <row r="41" spans="1:9" ht="13.5" thickTop="1" x14ac:dyDescent="0.2">
      <c r="A41" s="73"/>
      <c r="B41" s="61"/>
      <c r="C41" s="61"/>
      <c r="D41" s="69"/>
      <c r="E41" s="64"/>
      <c r="F41" s="64"/>
      <c r="G41" s="64"/>
      <c r="H41" s="64"/>
      <c r="I41" s="64"/>
    </row>
    <row r="42" spans="1:9" x14ac:dyDescent="0.2">
      <c r="A42" s="73"/>
      <c r="B42" s="61"/>
      <c r="C42" s="61"/>
      <c r="D42" s="69"/>
      <c r="E42" s="64"/>
      <c r="F42" s="64"/>
      <c r="G42" s="64"/>
      <c r="H42" s="64"/>
      <c r="I42" s="64"/>
    </row>
    <row r="43" spans="1:9" x14ac:dyDescent="0.2">
      <c r="A43" s="73"/>
      <c r="B43" s="61"/>
      <c r="C43" s="61"/>
      <c r="D43" s="69"/>
      <c r="E43" s="64"/>
      <c r="F43" s="64"/>
      <c r="G43" s="64"/>
      <c r="H43" s="64"/>
      <c r="I43" s="64"/>
    </row>
    <row r="44" spans="1:9" x14ac:dyDescent="0.2">
      <c r="A44" s="73"/>
      <c r="B44" s="61"/>
      <c r="C44" s="61"/>
      <c r="D44" s="69"/>
      <c r="E44" s="64"/>
      <c r="F44" s="64"/>
      <c r="G44" s="64"/>
      <c r="H44" s="64"/>
      <c r="I44" s="64"/>
    </row>
    <row r="45" spans="1:9" x14ac:dyDescent="0.2">
      <c r="A45" s="73"/>
      <c r="B45" s="61"/>
      <c r="C45" s="61"/>
      <c r="D45" s="69"/>
      <c r="E45" s="64"/>
      <c r="F45" s="64"/>
      <c r="G45" s="64"/>
      <c r="H45" s="64"/>
      <c r="I45" s="64"/>
    </row>
    <row r="46" spans="1:9" x14ac:dyDescent="0.2">
      <c r="A46" s="73"/>
      <c r="B46" s="61"/>
      <c r="C46" s="61"/>
      <c r="D46" s="69"/>
      <c r="E46" s="64"/>
      <c r="F46" s="64"/>
      <c r="G46" s="64"/>
      <c r="H46" s="64"/>
      <c r="I46" s="64"/>
    </row>
    <row r="47" spans="1:9" x14ac:dyDescent="0.2">
      <c r="A47" s="73"/>
      <c r="B47" s="61"/>
      <c r="C47" s="61"/>
      <c r="D47" s="69"/>
      <c r="E47" s="64"/>
      <c r="F47" s="64"/>
      <c r="G47" s="64"/>
      <c r="H47" s="64"/>
      <c r="I47" s="64"/>
    </row>
    <row r="48" spans="1:9" x14ac:dyDescent="0.2">
      <c r="A48" s="73"/>
      <c r="B48" s="61"/>
      <c r="C48" s="61"/>
      <c r="D48" s="69"/>
      <c r="E48" s="64"/>
      <c r="F48" s="64"/>
      <c r="G48" s="64"/>
      <c r="H48" s="64"/>
      <c r="I48" s="64"/>
    </row>
    <row r="49" spans="1:9" x14ac:dyDescent="0.2">
      <c r="A49" s="73"/>
      <c r="B49" s="61"/>
      <c r="C49" s="61"/>
      <c r="D49" s="69"/>
      <c r="E49" s="45"/>
      <c r="F49" s="74"/>
      <c r="G49" s="75"/>
      <c r="H49" s="75"/>
      <c r="I49" s="45"/>
    </row>
    <row r="50" spans="1:9" x14ac:dyDescent="0.2">
      <c r="A50" s="73"/>
      <c r="B50" s="61"/>
      <c r="C50" s="61"/>
      <c r="D50" s="69"/>
      <c r="E50" s="45"/>
      <c r="F50" s="74"/>
      <c r="G50" s="75"/>
      <c r="H50" s="75"/>
      <c r="I50" s="45"/>
    </row>
    <row r="51" spans="1:9" x14ac:dyDescent="0.2">
      <c r="A51" s="73"/>
      <c r="B51" s="61"/>
      <c r="C51" s="61"/>
      <c r="D51" s="69"/>
      <c r="E51" s="45"/>
      <c r="F51" s="74"/>
      <c r="G51" s="75"/>
      <c r="H51" s="75"/>
      <c r="I51" s="45"/>
    </row>
    <row r="52" spans="1:9" x14ac:dyDescent="0.2">
      <c r="A52" s="73"/>
      <c r="B52" s="61"/>
      <c r="C52" s="61"/>
      <c r="D52" s="69"/>
      <c r="E52" s="45"/>
      <c r="F52" s="74"/>
      <c r="G52" s="75"/>
      <c r="H52" s="75"/>
      <c r="I52" s="45"/>
    </row>
    <row r="53" spans="1:9" x14ac:dyDescent="0.2">
      <c r="A53" s="73"/>
      <c r="B53" s="61"/>
      <c r="C53" s="61"/>
      <c r="D53" s="69"/>
      <c r="E53" s="45"/>
      <c r="F53" s="74"/>
      <c r="G53" s="75"/>
      <c r="H53" s="75"/>
      <c r="I53" s="45"/>
    </row>
    <row r="54" spans="1:9" x14ac:dyDescent="0.2">
      <c r="A54" s="73"/>
      <c r="B54" s="61"/>
      <c r="C54" s="61"/>
      <c r="D54" s="69"/>
      <c r="E54" s="45"/>
      <c r="F54" s="74"/>
      <c r="G54" s="75"/>
      <c r="H54" s="75"/>
      <c r="I54" s="45"/>
    </row>
    <row r="55" spans="1:9" x14ac:dyDescent="0.2">
      <c r="A55" s="73"/>
      <c r="B55" s="61"/>
      <c r="C55" s="61"/>
      <c r="D55" s="69"/>
      <c r="E55" s="45"/>
      <c r="F55" s="74"/>
      <c r="G55" s="75"/>
      <c r="H55" s="75"/>
      <c r="I55" s="45"/>
    </row>
    <row r="56" spans="1:9" x14ac:dyDescent="0.2">
      <c r="A56" s="73"/>
      <c r="B56" s="61"/>
      <c r="C56" s="61"/>
      <c r="D56" s="69"/>
      <c r="E56" s="45"/>
      <c r="F56" s="74"/>
      <c r="G56" s="75"/>
      <c r="H56" s="75"/>
      <c r="I56" s="45"/>
    </row>
    <row r="57" spans="1:9" x14ac:dyDescent="0.2">
      <c r="A57" s="73"/>
      <c r="B57" s="61"/>
      <c r="C57" s="61"/>
      <c r="D57" s="69"/>
      <c r="E57" s="45"/>
      <c r="F57" s="74"/>
      <c r="G57" s="75"/>
      <c r="H57" s="75"/>
      <c r="I57" s="45"/>
    </row>
    <row r="58" spans="1:9" x14ac:dyDescent="0.2">
      <c r="A58" s="73"/>
      <c r="B58" s="61"/>
      <c r="C58" s="61"/>
      <c r="D58" s="69"/>
      <c r="E58" s="45"/>
      <c r="F58" s="74"/>
      <c r="G58" s="75"/>
      <c r="H58" s="75"/>
      <c r="I58" s="45"/>
    </row>
    <row r="59" spans="1:9" x14ac:dyDescent="0.2">
      <c r="F59" s="79"/>
    </row>
    <row r="60" spans="1:9" x14ac:dyDescent="0.2">
      <c r="F60" s="79"/>
    </row>
    <row r="61" spans="1:9" x14ac:dyDescent="0.2">
      <c r="F61" s="79"/>
    </row>
    <row r="62" spans="1:9" x14ac:dyDescent="0.2">
      <c r="F62" s="79"/>
    </row>
    <row r="63" spans="1:9" x14ac:dyDescent="0.2">
      <c r="F63" s="79"/>
    </row>
    <row r="64" spans="1:9"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1"/>
  <sheetViews>
    <sheetView zoomScaleNormal="100" workbookViewId="0">
      <selection activeCell="E54" sqref="E54"/>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30.28515625" style="45" customWidth="1"/>
    <col min="6" max="6" width="15" style="75" customWidth="1"/>
    <col min="7" max="7" width="12.42578125" style="75" customWidth="1"/>
    <col min="8" max="8" width="15.42578125" style="75" customWidth="1"/>
    <col min="9" max="16384" width="11.42578125" style="45"/>
  </cols>
  <sheetData>
    <row r="1" spans="1:30" s="5" customFormat="1" ht="24.75" customHeight="1" x14ac:dyDescent="0.25">
      <c r="A1" s="2" t="str">
        <f>'RECAP #9440.00'!B1</f>
        <v>DAS CC Elevator Replacements</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#9440.00'!B2</f>
        <v>Project # 9440.00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#9440.00'!B3</f>
        <v>Program code 944000</v>
      </c>
      <c r="E3" s="8" t="str">
        <f>'RECAP #9440.00'!E3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236</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#9440.00'!B6</f>
        <v>Project Manager - Brad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208</v>
      </c>
      <c r="B9" s="60">
        <v>45772</v>
      </c>
      <c r="C9" s="93" t="s">
        <v>204</v>
      </c>
      <c r="D9" s="93" t="s">
        <v>205</v>
      </c>
      <c r="E9" s="91" t="s">
        <v>210</v>
      </c>
      <c r="F9" s="92" t="s">
        <v>209</v>
      </c>
      <c r="G9" s="207">
        <v>1121.8</v>
      </c>
      <c r="H9" s="75">
        <f>G9</f>
        <v>1121.8</v>
      </c>
    </row>
    <row r="10" spans="1:30" x14ac:dyDescent="0.2">
      <c r="A10" s="93"/>
      <c r="B10" s="60"/>
      <c r="F10" s="28"/>
      <c r="H10" s="75">
        <f>H9+G10</f>
        <v>1121.8</v>
      </c>
    </row>
    <row r="11" spans="1:30" x14ac:dyDescent="0.2">
      <c r="A11" s="93"/>
      <c r="B11" s="60"/>
      <c r="C11" s="60"/>
      <c r="D11" s="60"/>
      <c r="F11" s="28"/>
      <c r="H11" s="75">
        <f t="shared" ref="H11:H20" si="0">H10+G11</f>
        <v>1121.8</v>
      </c>
    </row>
    <row r="12" spans="1:30" x14ac:dyDescent="0.2">
      <c r="A12" s="93" t="s">
        <v>5</v>
      </c>
      <c r="B12" s="60" t="s">
        <v>5</v>
      </c>
      <c r="C12" s="60"/>
      <c r="D12" s="60"/>
      <c r="E12" s="45" t="s">
        <v>5</v>
      </c>
      <c r="F12" s="28"/>
      <c r="H12" s="75">
        <f t="shared" si="0"/>
        <v>1121.8</v>
      </c>
    </row>
    <row r="13" spans="1:30" x14ac:dyDescent="0.2">
      <c r="A13" s="93" t="s">
        <v>5</v>
      </c>
      <c r="B13" s="60" t="s">
        <v>5</v>
      </c>
      <c r="C13" s="60"/>
      <c r="D13" s="60"/>
      <c r="E13" s="45" t="s">
        <v>5</v>
      </c>
      <c r="F13" s="28"/>
      <c r="H13" s="75">
        <f t="shared" si="0"/>
        <v>1121.8</v>
      </c>
    </row>
    <row r="14" spans="1:30" x14ac:dyDescent="0.2">
      <c r="A14" s="93"/>
      <c r="B14" s="60"/>
      <c r="C14" s="60"/>
      <c r="D14" s="60"/>
      <c r="F14" s="28"/>
      <c r="H14" s="75">
        <f t="shared" si="0"/>
        <v>1121.8</v>
      </c>
    </row>
    <row r="15" spans="1:30" x14ac:dyDescent="0.2">
      <c r="A15" s="93"/>
      <c r="B15" s="60"/>
      <c r="C15" s="60"/>
      <c r="D15" s="60"/>
      <c r="E15" s="94"/>
      <c r="F15" s="28"/>
      <c r="H15" s="75">
        <f t="shared" si="0"/>
        <v>1121.8</v>
      </c>
    </row>
    <row r="16" spans="1:30" x14ac:dyDescent="0.2">
      <c r="A16" s="93"/>
      <c r="B16" s="60"/>
      <c r="C16" s="60"/>
      <c r="D16" s="60"/>
      <c r="F16" s="28"/>
      <c r="H16" s="75">
        <f t="shared" si="0"/>
        <v>1121.8</v>
      </c>
    </row>
    <row r="17" spans="1:30" x14ac:dyDescent="0.2">
      <c r="B17" s="60"/>
      <c r="C17" s="60"/>
      <c r="D17" s="60"/>
      <c r="F17" s="28"/>
      <c r="H17" s="75">
        <f t="shared" si="0"/>
        <v>1121.8</v>
      </c>
    </row>
    <row r="18" spans="1:30" x14ac:dyDescent="0.2">
      <c r="B18" s="60"/>
      <c r="C18" s="60"/>
      <c r="D18" s="60"/>
      <c r="F18" s="28"/>
      <c r="H18" s="75">
        <f t="shared" si="0"/>
        <v>1121.8</v>
      </c>
    </row>
    <row r="19" spans="1:30" x14ac:dyDescent="0.2">
      <c r="B19" s="60"/>
      <c r="C19" s="60"/>
      <c r="D19" s="60"/>
      <c r="F19" s="28"/>
      <c r="H19" s="75">
        <f t="shared" si="0"/>
        <v>1121.8</v>
      </c>
    </row>
    <row r="20" spans="1:30" x14ac:dyDescent="0.2">
      <c r="B20" s="60"/>
      <c r="C20" s="60"/>
      <c r="D20" s="60"/>
      <c r="F20" s="28"/>
      <c r="H20" s="75">
        <f t="shared" si="0"/>
        <v>1121.8</v>
      </c>
    </row>
    <row r="21" spans="1:30" x14ac:dyDescent="0.2">
      <c r="G21" s="45"/>
    </row>
    <row r="22" spans="1:30" s="94" customFormat="1" ht="16.5" thickBot="1" x14ac:dyDescent="0.3">
      <c r="A22" s="95"/>
      <c r="B22" s="96"/>
      <c r="C22" s="96"/>
      <c r="D22" s="96"/>
      <c r="E22" s="97" t="s">
        <v>28</v>
      </c>
      <c r="F22" s="98"/>
      <c r="G22" s="72">
        <f>SUM(G9:G21)</f>
        <v>1121.8</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560"/>
  <sheetViews>
    <sheetView zoomScaleNormal="100" workbookViewId="0">
      <selection activeCell="J26" sqref="J26"/>
    </sheetView>
  </sheetViews>
  <sheetFormatPr defaultColWidth="11.42578125" defaultRowHeight="12.75" x14ac:dyDescent="0.2"/>
  <cols>
    <col min="1" max="1" width="24.5703125" style="256" customWidth="1"/>
    <col min="2" max="2" width="9.42578125" style="244" customWidth="1"/>
    <col min="3" max="3" width="36.85546875" style="252" customWidth="1"/>
    <col min="4" max="4" width="14.42578125" style="50" customWidth="1"/>
    <col min="5" max="5" width="13.5703125" style="262" customWidth="1"/>
    <col min="6" max="6" width="12.42578125" style="262" customWidth="1"/>
    <col min="7" max="7" width="10.5703125" style="262" customWidth="1"/>
    <col min="8" max="8" width="13.7109375" style="50" customWidth="1"/>
    <col min="9" max="16384" width="11.42578125" style="50"/>
  </cols>
  <sheetData>
    <row r="1" spans="1:9" s="225" customFormat="1" ht="24.75" customHeight="1" x14ac:dyDescent="0.25">
      <c r="A1" s="36" t="str">
        <f>'RECAP #9440.00'!B1</f>
        <v>DAS CC Elevator Replacements</v>
      </c>
      <c r="B1" s="36"/>
      <c r="C1" s="223"/>
      <c r="D1" s="223"/>
      <c r="E1" s="223"/>
      <c r="F1" s="224"/>
      <c r="G1" s="224"/>
    </row>
    <row r="2" spans="1:9" s="225" customFormat="1" ht="15.75" x14ac:dyDescent="0.25">
      <c r="A2" s="226" t="str">
        <f>'RECAP #9440.00'!B2</f>
        <v>Project # 9440.00</v>
      </c>
      <c r="B2" s="227"/>
      <c r="C2" s="223"/>
      <c r="D2" s="223"/>
      <c r="E2" s="223"/>
      <c r="F2" s="224"/>
      <c r="G2" s="224"/>
    </row>
    <row r="3" spans="1:9" s="225" customFormat="1" ht="15.75" x14ac:dyDescent="0.25">
      <c r="A3" s="228" t="str">
        <f>'RECAP #9440.00'!B3</f>
        <v>Program code 944000</v>
      </c>
      <c r="B3" s="227"/>
      <c r="C3" s="223"/>
      <c r="D3" s="229" t="str">
        <f>'RECAP #9440.00'!E3</f>
        <v>Major Program 4D03</v>
      </c>
      <c r="E3" s="223"/>
      <c r="F3" s="224"/>
      <c r="G3" s="224"/>
    </row>
    <row r="4" spans="1:9" s="225" customFormat="1" ht="15.75" x14ac:dyDescent="0.25">
      <c r="A4" s="36" t="s">
        <v>85</v>
      </c>
      <c r="B4" s="37"/>
      <c r="D4" s="230" t="s">
        <v>89</v>
      </c>
      <c r="E4" s="231"/>
      <c r="F4" s="224"/>
      <c r="G4" s="224"/>
    </row>
    <row r="5" spans="1:9" s="225" customFormat="1" ht="15.75" x14ac:dyDescent="0.25">
      <c r="A5" s="232" t="s">
        <v>86</v>
      </c>
      <c r="C5" s="233"/>
      <c r="D5" s="44" t="s">
        <v>90</v>
      </c>
      <c r="E5" s="50"/>
      <c r="F5" s="234"/>
      <c r="G5" s="224"/>
    </row>
    <row r="6" spans="1:9" s="225" customFormat="1" ht="15.75" x14ac:dyDescent="0.25">
      <c r="A6" s="235" t="str">
        <f>'RECAP #9440.00'!B6</f>
        <v>Project Manager - Brad T.</v>
      </c>
      <c r="B6" s="37"/>
      <c r="C6" s="236"/>
      <c r="D6" s="237" t="s">
        <v>114</v>
      </c>
      <c r="E6" s="50"/>
      <c r="F6" s="51"/>
      <c r="G6" s="224"/>
    </row>
    <row r="7" spans="1:9" s="225" customFormat="1" ht="15.75" x14ac:dyDescent="0.25">
      <c r="B7" s="238"/>
      <c r="C7" s="238"/>
      <c r="E7" s="53"/>
      <c r="F7" s="54"/>
      <c r="G7" s="224"/>
      <c r="I7" s="225" t="s">
        <v>5</v>
      </c>
    </row>
    <row r="8" spans="1:9" s="225" customFormat="1" ht="32.25" thickBot="1" x14ac:dyDescent="0.3">
      <c r="A8" s="239" t="s">
        <v>20</v>
      </c>
      <c r="B8" s="240" t="s">
        <v>21</v>
      </c>
      <c r="C8" s="241" t="s">
        <v>22</v>
      </c>
      <c r="D8" s="220" t="s">
        <v>23</v>
      </c>
      <c r="E8" s="220" t="s">
        <v>24</v>
      </c>
      <c r="F8" s="220" t="s">
        <v>25</v>
      </c>
      <c r="G8" s="220" t="s">
        <v>26</v>
      </c>
      <c r="H8" s="220" t="s">
        <v>27</v>
      </c>
      <c r="I8" s="225" t="s">
        <v>5</v>
      </c>
    </row>
    <row r="9" spans="1:9" x14ac:dyDescent="0.2">
      <c r="A9" s="242" t="s">
        <v>115</v>
      </c>
      <c r="B9" s="243">
        <v>45604</v>
      </c>
      <c r="C9" s="244" t="s">
        <v>88</v>
      </c>
      <c r="D9" s="245">
        <v>45016.58</v>
      </c>
      <c r="E9" s="246">
        <f>D9</f>
        <v>45016.58</v>
      </c>
      <c r="F9" s="247"/>
      <c r="G9" s="247"/>
      <c r="H9" s="247">
        <f>E9</f>
        <v>45016.58</v>
      </c>
    </row>
    <row r="10" spans="1:9" x14ac:dyDescent="0.2">
      <c r="A10" s="242" t="s">
        <v>135</v>
      </c>
      <c r="B10" s="248">
        <v>45656</v>
      </c>
      <c r="C10" s="244" t="s">
        <v>136</v>
      </c>
      <c r="D10" s="246"/>
      <c r="E10" s="246">
        <f t="shared" ref="E10:E21" si="0">E9+D10</f>
        <v>45016.58</v>
      </c>
      <c r="F10" s="249">
        <v>2276.64</v>
      </c>
      <c r="G10" s="247">
        <f t="shared" ref="G10:G21" si="1">G9+F10</f>
        <v>2276.64</v>
      </c>
      <c r="H10" s="247">
        <f t="shared" ref="H10:H21" si="2">H9-F10+D10</f>
        <v>42739.94</v>
      </c>
    </row>
    <row r="11" spans="1:9" x14ac:dyDescent="0.2">
      <c r="A11" s="242" t="s">
        <v>147</v>
      </c>
      <c r="B11" s="243">
        <v>45671</v>
      </c>
      <c r="C11" s="244" t="s">
        <v>148</v>
      </c>
      <c r="D11" s="246"/>
      <c r="E11" s="246">
        <f t="shared" si="0"/>
        <v>45016.58</v>
      </c>
      <c r="F11" s="249">
        <v>2860.88</v>
      </c>
      <c r="G11" s="247">
        <f t="shared" si="1"/>
        <v>5137.5200000000004</v>
      </c>
      <c r="H11" s="247">
        <f t="shared" si="2"/>
        <v>39879.060000000005</v>
      </c>
    </row>
    <row r="12" spans="1:9" x14ac:dyDescent="0.2">
      <c r="A12" s="242" t="s">
        <v>152</v>
      </c>
      <c r="B12" s="243">
        <v>45700</v>
      </c>
      <c r="C12" s="244" t="s">
        <v>153</v>
      </c>
      <c r="D12" s="246"/>
      <c r="E12" s="246">
        <f t="shared" si="0"/>
        <v>45016.58</v>
      </c>
      <c r="F12" s="249">
        <v>1369.6</v>
      </c>
      <c r="G12" s="247">
        <f t="shared" si="1"/>
        <v>6507.1200000000008</v>
      </c>
      <c r="H12" s="247">
        <f t="shared" si="2"/>
        <v>38509.460000000006</v>
      </c>
    </row>
    <row r="13" spans="1:9" x14ac:dyDescent="0.2">
      <c r="A13" s="242" t="s">
        <v>182</v>
      </c>
      <c r="B13" s="243">
        <v>45730</v>
      </c>
      <c r="C13" s="244" t="s">
        <v>183</v>
      </c>
      <c r="D13" s="246"/>
      <c r="E13" s="246">
        <f t="shared" si="0"/>
        <v>45016.58</v>
      </c>
      <c r="F13" s="249">
        <v>4160.96</v>
      </c>
      <c r="G13" s="247">
        <f t="shared" si="1"/>
        <v>10668.080000000002</v>
      </c>
      <c r="H13" s="247">
        <f t="shared" si="2"/>
        <v>34348.500000000007</v>
      </c>
    </row>
    <row r="14" spans="1:9" x14ac:dyDescent="0.2">
      <c r="A14" s="242" t="s">
        <v>197</v>
      </c>
      <c r="B14" s="243">
        <v>45763</v>
      </c>
      <c r="C14" s="244" t="s">
        <v>198</v>
      </c>
      <c r="D14" s="246"/>
      <c r="E14" s="246">
        <f t="shared" si="0"/>
        <v>45016.58</v>
      </c>
      <c r="F14" s="249">
        <v>13358.41</v>
      </c>
      <c r="G14" s="247">
        <f t="shared" si="1"/>
        <v>24026.49</v>
      </c>
      <c r="H14" s="247">
        <f t="shared" si="2"/>
        <v>20990.090000000007</v>
      </c>
    </row>
    <row r="15" spans="1:9" x14ac:dyDescent="0.2">
      <c r="A15" s="242" t="s">
        <v>216</v>
      </c>
      <c r="B15" s="243">
        <v>45784</v>
      </c>
      <c r="C15" s="244" t="s">
        <v>217</v>
      </c>
      <c r="D15" s="265">
        <v>-16073.19</v>
      </c>
      <c r="E15" s="246">
        <f t="shared" si="0"/>
        <v>28943.39</v>
      </c>
      <c r="F15" s="249">
        <v>4916.8999999999996</v>
      </c>
      <c r="G15" s="247">
        <f t="shared" si="1"/>
        <v>28943.39</v>
      </c>
      <c r="H15" s="247">
        <f t="shared" si="2"/>
        <v>0</v>
      </c>
    </row>
    <row r="16" spans="1:9" x14ac:dyDescent="0.2">
      <c r="A16" s="242"/>
      <c r="B16" s="243"/>
      <c r="C16" s="244"/>
      <c r="D16" s="246"/>
      <c r="E16" s="246">
        <f t="shared" si="0"/>
        <v>28943.39</v>
      </c>
      <c r="F16" s="249"/>
      <c r="G16" s="247">
        <f t="shared" si="1"/>
        <v>28943.39</v>
      </c>
      <c r="H16" s="247">
        <f t="shared" si="2"/>
        <v>0</v>
      </c>
    </row>
    <row r="17" spans="1:9" x14ac:dyDescent="0.2">
      <c r="A17" s="242"/>
      <c r="B17" s="243"/>
      <c r="C17" s="244"/>
      <c r="D17" s="246"/>
      <c r="E17" s="246">
        <f t="shared" si="0"/>
        <v>28943.39</v>
      </c>
      <c r="F17" s="249"/>
      <c r="G17" s="247">
        <f t="shared" si="1"/>
        <v>28943.39</v>
      </c>
      <c r="H17" s="247">
        <f t="shared" si="2"/>
        <v>0</v>
      </c>
    </row>
    <row r="18" spans="1:9" x14ac:dyDescent="0.2">
      <c r="A18" s="242"/>
      <c r="B18" s="243"/>
      <c r="C18" s="244"/>
      <c r="D18" s="246"/>
      <c r="E18" s="246">
        <f t="shared" si="0"/>
        <v>28943.39</v>
      </c>
      <c r="F18" s="249"/>
      <c r="G18" s="247">
        <f t="shared" si="1"/>
        <v>28943.39</v>
      </c>
      <c r="H18" s="247">
        <f t="shared" si="2"/>
        <v>0</v>
      </c>
    </row>
    <row r="19" spans="1:9" x14ac:dyDescent="0.2">
      <c r="A19" s="242"/>
      <c r="B19" s="243"/>
      <c r="C19" s="244"/>
      <c r="D19" s="246"/>
      <c r="E19" s="246">
        <f t="shared" si="0"/>
        <v>28943.39</v>
      </c>
      <c r="F19" s="247"/>
      <c r="G19" s="247">
        <f t="shared" si="1"/>
        <v>28943.39</v>
      </c>
      <c r="H19" s="247">
        <f t="shared" si="2"/>
        <v>0</v>
      </c>
    </row>
    <row r="20" spans="1:9" x14ac:dyDescent="0.2">
      <c r="A20" s="242"/>
      <c r="B20" s="243"/>
      <c r="C20" s="244"/>
      <c r="D20" s="246"/>
      <c r="E20" s="246">
        <f t="shared" si="0"/>
        <v>28943.39</v>
      </c>
      <c r="F20" s="247"/>
      <c r="G20" s="247">
        <f t="shared" si="1"/>
        <v>28943.39</v>
      </c>
      <c r="H20" s="247">
        <f t="shared" si="2"/>
        <v>0</v>
      </c>
    </row>
    <row r="21" spans="1:9" x14ac:dyDescent="0.2">
      <c r="A21" s="242"/>
      <c r="B21" s="243"/>
      <c r="C21" s="251"/>
      <c r="D21" s="246"/>
      <c r="E21" s="246">
        <f t="shared" si="0"/>
        <v>28943.39</v>
      </c>
      <c r="F21" s="247"/>
      <c r="G21" s="247">
        <f t="shared" si="1"/>
        <v>28943.39</v>
      </c>
      <c r="H21" s="247">
        <f t="shared" si="2"/>
        <v>0</v>
      </c>
    </row>
    <row r="22" spans="1:9" x14ac:dyDescent="0.2">
      <c r="A22" s="242"/>
      <c r="D22" s="247"/>
      <c r="E22" s="247"/>
      <c r="F22" s="247"/>
      <c r="G22" s="247"/>
      <c r="H22" s="247"/>
    </row>
    <row r="23" spans="1:9" ht="13.5" thickBot="1" x14ac:dyDescent="0.25">
      <c r="A23" s="242"/>
      <c r="B23" s="253"/>
      <c r="C23" s="254" t="s">
        <v>28</v>
      </c>
      <c r="D23" s="255">
        <f>SUM(D9:D22)</f>
        <v>28943.39</v>
      </c>
      <c r="E23" s="255"/>
      <c r="F23" s="255">
        <f>SUM(F9:F22)</f>
        <v>28943.39</v>
      </c>
      <c r="G23" s="255"/>
      <c r="H23" s="255">
        <f>D23-F23</f>
        <v>0</v>
      </c>
      <c r="I23" s="44" t="s">
        <v>202</v>
      </c>
    </row>
    <row r="24" spans="1:9" ht="13.5" thickTop="1" x14ac:dyDescent="0.2">
      <c r="D24" s="247"/>
      <c r="E24" s="247"/>
      <c r="F24" s="247"/>
      <c r="G24" s="247"/>
      <c r="H24" s="247"/>
    </row>
    <row r="25" spans="1:9" x14ac:dyDescent="0.2">
      <c r="D25" s="247"/>
      <c r="E25" s="247"/>
      <c r="F25" s="247"/>
      <c r="G25" s="247"/>
      <c r="H25" s="247"/>
    </row>
    <row r="26" spans="1:9" x14ac:dyDescent="0.2">
      <c r="C26" s="252" t="s">
        <v>116</v>
      </c>
      <c r="D26" s="247">
        <f>25016.58-2251.94</f>
        <v>22764.640000000003</v>
      </c>
      <c r="E26" s="247"/>
      <c r="F26" s="247">
        <f>2276.64+2860.88+1369.6+4160.96+7179.66+4916.9</f>
        <v>22764.639999999999</v>
      </c>
      <c r="G26" s="247"/>
      <c r="H26" s="247">
        <f>D26-F26</f>
        <v>0</v>
      </c>
    </row>
    <row r="27" spans="1:9" x14ac:dyDescent="0.2">
      <c r="C27" s="252" t="s">
        <v>117</v>
      </c>
      <c r="D27" s="247">
        <f>20000-13821.25</f>
        <v>6178.75</v>
      </c>
      <c r="E27" s="247"/>
      <c r="F27" s="247">
        <f>6178.75</f>
        <v>6178.75</v>
      </c>
      <c r="G27" s="247"/>
      <c r="H27" s="247">
        <f>D27-F27</f>
        <v>0</v>
      </c>
    </row>
    <row r="28" spans="1:9" ht="13.5" thickBot="1" x14ac:dyDescent="0.25">
      <c r="C28" s="266" t="s">
        <v>111</v>
      </c>
      <c r="D28" s="255">
        <f>SUM(D25:D27)</f>
        <v>28943.390000000003</v>
      </c>
      <c r="E28" s="267"/>
      <c r="F28" s="255">
        <f>SUM(F25:F27)</f>
        <v>28943.39</v>
      </c>
      <c r="G28" s="267"/>
      <c r="H28" s="255">
        <f>SUM(H25:H27)</f>
        <v>0</v>
      </c>
    </row>
    <row r="29" spans="1:9" ht="13.5" thickTop="1" x14ac:dyDescent="0.2">
      <c r="D29" s="247"/>
      <c r="E29" s="247"/>
      <c r="F29" s="247"/>
      <c r="G29" s="247"/>
      <c r="H29" s="247"/>
    </row>
    <row r="30" spans="1:9" x14ac:dyDescent="0.2">
      <c r="E30" s="261"/>
    </row>
    <row r="31" spans="1:9" x14ac:dyDescent="0.2">
      <c r="E31" s="261"/>
    </row>
    <row r="32" spans="1:9" x14ac:dyDescent="0.2">
      <c r="E32" s="261"/>
    </row>
    <row r="33" spans="5:5" x14ac:dyDescent="0.2">
      <c r="E33" s="261"/>
    </row>
    <row r="34" spans="5:5" x14ac:dyDescent="0.2">
      <c r="E34" s="261"/>
    </row>
    <row r="35" spans="5:5" x14ac:dyDescent="0.2">
      <c r="E35" s="261"/>
    </row>
    <row r="36" spans="5:5" x14ac:dyDescent="0.2">
      <c r="E36" s="261"/>
    </row>
    <row r="37" spans="5:5" x14ac:dyDescent="0.2">
      <c r="E37" s="261"/>
    </row>
    <row r="38" spans="5:5" x14ac:dyDescent="0.2">
      <c r="E38" s="261"/>
    </row>
    <row r="39" spans="5:5" x14ac:dyDescent="0.2">
      <c r="E39" s="261"/>
    </row>
    <row r="40" spans="5:5" x14ac:dyDescent="0.2">
      <c r="E40" s="261"/>
    </row>
    <row r="41" spans="5:5" x14ac:dyDescent="0.2">
      <c r="E41" s="261"/>
    </row>
    <row r="42" spans="5:5" x14ac:dyDescent="0.2">
      <c r="E42" s="261"/>
    </row>
    <row r="43" spans="5:5" x14ac:dyDescent="0.2">
      <c r="E43" s="261"/>
    </row>
    <row r="44" spans="5:5" x14ac:dyDescent="0.2">
      <c r="E44" s="261"/>
    </row>
    <row r="45" spans="5:5" x14ac:dyDescent="0.2">
      <c r="E45" s="261"/>
    </row>
    <row r="46" spans="5:5" x14ac:dyDescent="0.2">
      <c r="E46" s="261"/>
    </row>
    <row r="47" spans="5:5" x14ac:dyDescent="0.2">
      <c r="E47" s="261"/>
    </row>
    <row r="48" spans="5:5" x14ac:dyDescent="0.2">
      <c r="E48" s="261"/>
    </row>
    <row r="49" spans="5:5" x14ac:dyDescent="0.2">
      <c r="E49" s="261"/>
    </row>
    <row r="50" spans="5:5" x14ac:dyDescent="0.2">
      <c r="E50" s="261"/>
    </row>
    <row r="51" spans="5:5" x14ac:dyDescent="0.2">
      <c r="E51" s="261"/>
    </row>
    <row r="52" spans="5:5" x14ac:dyDescent="0.2">
      <c r="E52" s="261"/>
    </row>
    <row r="53" spans="5:5" x14ac:dyDescent="0.2">
      <c r="E53" s="261"/>
    </row>
    <row r="54" spans="5:5" x14ac:dyDescent="0.2">
      <c r="E54" s="261"/>
    </row>
    <row r="55" spans="5:5" x14ac:dyDescent="0.2">
      <c r="E55" s="261"/>
    </row>
    <row r="56" spans="5:5" x14ac:dyDescent="0.2">
      <c r="E56" s="261"/>
    </row>
    <row r="57" spans="5:5" x14ac:dyDescent="0.2">
      <c r="E57" s="261"/>
    </row>
    <row r="58" spans="5:5" x14ac:dyDescent="0.2">
      <c r="E58" s="261"/>
    </row>
    <row r="59" spans="5:5" x14ac:dyDescent="0.2">
      <c r="E59" s="261"/>
    </row>
    <row r="60" spans="5:5" x14ac:dyDescent="0.2">
      <c r="E60" s="261"/>
    </row>
    <row r="61" spans="5:5" x14ac:dyDescent="0.2">
      <c r="E61" s="261"/>
    </row>
    <row r="62" spans="5:5" x14ac:dyDescent="0.2">
      <c r="E62" s="261"/>
    </row>
    <row r="63" spans="5:5" x14ac:dyDescent="0.2">
      <c r="E63" s="261"/>
    </row>
    <row r="64" spans="5:5" x14ac:dyDescent="0.2">
      <c r="E64" s="261"/>
    </row>
    <row r="65" spans="5:5" x14ac:dyDescent="0.2">
      <c r="E65" s="261"/>
    </row>
    <row r="66" spans="5:5" x14ac:dyDescent="0.2">
      <c r="E66" s="261"/>
    </row>
    <row r="67" spans="5:5" x14ac:dyDescent="0.2">
      <c r="E67" s="261"/>
    </row>
    <row r="68" spans="5:5" x14ac:dyDescent="0.2">
      <c r="E68" s="261"/>
    </row>
    <row r="69" spans="5:5" x14ac:dyDescent="0.2">
      <c r="E69" s="261"/>
    </row>
    <row r="70" spans="5:5" x14ac:dyDescent="0.2">
      <c r="E70" s="261"/>
    </row>
    <row r="71" spans="5:5" x14ac:dyDescent="0.2">
      <c r="E71" s="261"/>
    </row>
    <row r="72" spans="5:5" x14ac:dyDescent="0.2">
      <c r="E72" s="261"/>
    </row>
    <row r="73" spans="5:5" x14ac:dyDescent="0.2">
      <c r="E73" s="261"/>
    </row>
    <row r="74" spans="5:5" x14ac:dyDescent="0.2">
      <c r="E74" s="261"/>
    </row>
    <row r="75" spans="5:5" x14ac:dyDescent="0.2">
      <c r="E75" s="261"/>
    </row>
    <row r="76" spans="5:5" x14ac:dyDescent="0.2">
      <c r="E76" s="261"/>
    </row>
    <row r="77" spans="5:5" x14ac:dyDescent="0.2">
      <c r="E77" s="261"/>
    </row>
    <row r="78" spans="5:5" x14ac:dyDescent="0.2">
      <c r="E78" s="261"/>
    </row>
    <row r="79" spans="5:5" x14ac:dyDescent="0.2">
      <c r="E79" s="261"/>
    </row>
    <row r="80" spans="5:5" x14ac:dyDescent="0.2">
      <c r="E80" s="261"/>
    </row>
    <row r="81" spans="5:5" x14ac:dyDescent="0.2">
      <c r="E81" s="261"/>
    </row>
    <row r="82" spans="5:5" x14ac:dyDescent="0.2">
      <c r="E82" s="261"/>
    </row>
    <row r="83" spans="5:5" x14ac:dyDescent="0.2">
      <c r="E83" s="261"/>
    </row>
    <row r="84" spans="5:5" x14ac:dyDescent="0.2">
      <c r="E84" s="261"/>
    </row>
    <row r="85" spans="5:5" x14ac:dyDescent="0.2">
      <c r="E85" s="261"/>
    </row>
    <row r="86" spans="5:5" x14ac:dyDescent="0.2">
      <c r="E86" s="261"/>
    </row>
    <row r="87" spans="5:5" x14ac:dyDescent="0.2">
      <c r="E87" s="261"/>
    </row>
    <row r="88" spans="5:5" x14ac:dyDescent="0.2">
      <c r="E88" s="261"/>
    </row>
    <row r="89" spans="5:5" x14ac:dyDescent="0.2">
      <c r="E89" s="261"/>
    </row>
    <row r="90" spans="5:5" x14ac:dyDescent="0.2">
      <c r="E90" s="261"/>
    </row>
    <row r="91" spans="5:5" x14ac:dyDescent="0.2">
      <c r="E91" s="261"/>
    </row>
    <row r="92" spans="5:5" x14ac:dyDescent="0.2">
      <c r="E92" s="261"/>
    </row>
    <row r="93" spans="5:5" x14ac:dyDescent="0.2">
      <c r="E93" s="261"/>
    </row>
    <row r="94" spans="5:5" x14ac:dyDescent="0.2">
      <c r="E94" s="261"/>
    </row>
    <row r="95" spans="5:5" x14ac:dyDescent="0.2">
      <c r="E95" s="261"/>
    </row>
    <row r="96" spans="5:5" x14ac:dyDescent="0.2">
      <c r="E96" s="261"/>
    </row>
    <row r="97" spans="5:5" x14ac:dyDescent="0.2">
      <c r="E97" s="261"/>
    </row>
    <row r="98" spans="5:5" x14ac:dyDescent="0.2">
      <c r="E98" s="261"/>
    </row>
    <row r="99" spans="5:5" x14ac:dyDescent="0.2">
      <c r="E99" s="261"/>
    </row>
    <row r="100" spans="5:5" x14ac:dyDescent="0.2">
      <c r="E100" s="261"/>
    </row>
    <row r="101" spans="5:5" x14ac:dyDescent="0.2">
      <c r="E101" s="261"/>
    </row>
    <row r="102" spans="5:5" x14ac:dyDescent="0.2">
      <c r="E102" s="261"/>
    </row>
    <row r="103" spans="5:5" x14ac:dyDescent="0.2">
      <c r="E103" s="261"/>
    </row>
    <row r="104" spans="5:5" x14ac:dyDescent="0.2">
      <c r="E104" s="261"/>
    </row>
    <row r="105" spans="5:5" x14ac:dyDescent="0.2">
      <c r="E105" s="261"/>
    </row>
    <row r="106" spans="5:5" x14ac:dyDescent="0.2">
      <c r="E106" s="261"/>
    </row>
    <row r="107" spans="5:5" x14ac:dyDescent="0.2">
      <c r="E107" s="261"/>
    </row>
    <row r="108" spans="5:5" x14ac:dyDescent="0.2">
      <c r="E108" s="261"/>
    </row>
    <row r="109" spans="5:5" x14ac:dyDescent="0.2">
      <c r="E109" s="261"/>
    </row>
    <row r="110" spans="5:5" x14ac:dyDescent="0.2">
      <c r="E110" s="261"/>
    </row>
    <row r="111" spans="5:5" x14ac:dyDescent="0.2">
      <c r="E111" s="261"/>
    </row>
    <row r="112" spans="5:5" x14ac:dyDescent="0.2">
      <c r="E112" s="261"/>
    </row>
    <row r="113" spans="5:5" x14ac:dyDescent="0.2">
      <c r="E113" s="261"/>
    </row>
    <row r="114" spans="5:5" x14ac:dyDescent="0.2">
      <c r="E114" s="261"/>
    </row>
    <row r="115" spans="5:5" x14ac:dyDescent="0.2">
      <c r="E115" s="261"/>
    </row>
    <row r="116" spans="5:5" x14ac:dyDescent="0.2">
      <c r="E116" s="261"/>
    </row>
    <row r="117" spans="5:5" x14ac:dyDescent="0.2">
      <c r="E117" s="261"/>
    </row>
    <row r="118" spans="5:5" x14ac:dyDescent="0.2">
      <c r="E118" s="261"/>
    </row>
    <row r="119" spans="5:5" x14ac:dyDescent="0.2">
      <c r="E119" s="261"/>
    </row>
    <row r="120" spans="5:5" x14ac:dyDescent="0.2">
      <c r="E120" s="261"/>
    </row>
    <row r="121" spans="5:5" x14ac:dyDescent="0.2">
      <c r="E121" s="261"/>
    </row>
    <row r="122" spans="5:5" x14ac:dyDescent="0.2">
      <c r="E122" s="261"/>
    </row>
    <row r="123" spans="5:5" x14ac:dyDescent="0.2">
      <c r="E123" s="261"/>
    </row>
    <row r="124" spans="5:5" x14ac:dyDescent="0.2">
      <c r="E124" s="261"/>
    </row>
    <row r="125" spans="5:5" x14ac:dyDescent="0.2">
      <c r="E125" s="261"/>
    </row>
    <row r="126" spans="5:5" x14ac:dyDescent="0.2">
      <c r="E126" s="261"/>
    </row>
    <row r="127" spans="5:5" x14ac:dyDescent="0.2">
      <c r="E127" s="261"/>
    </row>
    <row r="128" spans="5:5" x14ac:dyDescent="0.2">
      <c r="E128" s="261"/>
    </row>
    <row r="129" spans="5:5" x14ac:dyDescent="0.2">
      <c r="E129" s="261"/>
    </row>
    <row r="130" spans="5:5" x14ac:dyDescent="0.2">
      <c r="E130" s="261"/>
    </row>
    <row r="131" spans="5:5" x14ac:dyDescent="0.2">
      <c r="E131" s="261"/>
    </row>
    <row r="132" spans="5:5" x14ac:dyDescent="0.2">
      <c r="E132" s="261"/>
    </row>
    <row r="133" spans="5:5" x14ac:dyDescent="0.2">
      <c r="E133" s="261"/>
    </row>
    <row r="134" spans="5:5" x14ac:dyDescent="0.2">
      <c r="E134" s="261"/>
    </row>
    <row r="135" spans="5:5" x14ac:dyDescent="0.2">
      <c r="E135" s="261"/>
    </row>
    <row r="136" spans="5:5" x14ac:dyDescent="0.2">
      <c r="E136" s="261"/>
    </row>
    <row r="137" spans="5:5" x14ac:dyDescent="0.2">
      <c r="E137" s="261"/>
    </row>
    <row r="138" spans="5:5" x14ac:dyDescent="0.2">
      <c r="E138" s="261"/>
    </row>
    <row r="139" spans="5:5" x14ac:dyDescent="0.2">
      <c r="E139" s="261"/>
    </row>
    <row r="140" spans="5:5" x14ac:dyDescent="0.2">
      <c r="E140" s="261"/>
    </row>
    <row r="141" spans="5:5" x14ac:dyDescent="0.2">
      <c r="E141" s="261"/>
    </row>
    <row r="142" spans="5:5" x14ac:dyDescent="0.2">
      <c r="E142" s="261"/>
    </row>
    <row r="143" spans="5:5" x14ac:dyDescent="0.2">
      <c r="E143" s="261"/>
    </row>
    <row r="144" spans="5:5" x14ac:dyDescent="0.2">
      <c r="E144" s="261"/>
    </row>
    <row r="145" spans="5:5" x14ac:dyDescent="0.2">
      <c r="E145" s="261"/>
    </row>
    <row r="146" spans="5:5" x14ac:dyDescent="0.2">
      <c r="E146" s="261"/>
    </row>
    <row r="147" spans="5:5" x14ac:dyDescent="0.2">
      <c r="E147" s="261"/>
    </row>
    <row r="148" spans="5:5" x14ac:dyDescent="0.2">
      <c r="E148" s="261"/>
    </row>
    <row r="149" spans="5:5" x14ac:dyDescent="0.2">
      <c r="E149" s="261"/>
    </row>
    <row r="150" spans="5:5" x14ac:dyDescent="0.2">
      <c r="E150" s="261"/>
    </row>
    <row r="151" spans="5:5" x14ac:dyDescent="0.2">
      <c r="E151" s="261"/>
    </row>
    <row r="152" spans="5:5" x14ac:dyDescent="0.2">
      <c r="E152" s="261"/>
    </row>
    <row r="153" spans="5:5" x14ac:dyDescent="0.2">
      <c r="E153" s="261"/>
    </row>
    <row r="154" spans="5:5" x14ac:dyDescent="0.2">
      <c r="E154" s="261"/>
    </row>
    <row r="155" spans="5:5" x14ac:dyDescent="0.2">
      <c r="E155" s="261"/>
    </row>
    <row r="156" spans="5:5" x14ac:dyDescent="0.2">
      <c r="E156" s="261"/>
    </row>
    <row r="157" spans="5:5" x14ac:dyDescent="0.2">
      <c r="E157" s="261"/>
    </row>
    <row r="158" spans="5:5" x14ac:dyDescent="0.2">
      <c r="E158" s="261"/>
    </row>
    <row r="159" spans="5:5" x14ac:dyDescent="0.2">
      <c r="E159" s="261"/>
    </row>
    <row r="160" spans="5:5" x14ac:dyDescent="0.2">
      <c r="E160" s="261"/>
    </row>
    <row r="161" spans="5:5" x14ac:dyDescent="0.2">
      <c r="E161" s="261"/>
    </row>
    <row r="162" spans="5:5" x14ac:dyDescent="0.2">
      <c r="E162" s="261"/>
    </row>
    <row r="163" spans="5:5" x14ac:dyDescent="0.2">
      <c r="E163" s="261"/>
    </row>
    <row r="164" spans="5:5" x14ac:dyDescent="0.2">
      <c r="E164" s="261"/>
    </row>
    <row r="165" spans="5:5" x14ac:dyDescent="0.2">
      <c r="E165" s="261"/>
    </row>
    <row r="166" spans="5:5" x14ac:dyDescent="0.2">
      <c r="E166" s="261"/>
    </row>
    <row r="167" spans="5:5" x14ac:dyDescent="0.2">
      <c r="E167" s="261"/>
    </row>
    <row r="168" spans="5:5" x14ac:dyDescent="0.2">
      <c r="E168" s="261"/>
    </row>
    <row r="169" spans="5:5" x14ac:dyDescent="0.2">
      <c r="E169" s="261"/>
    </row>
    <row r="170" spans="5:5" x14ac:dyDescent="0.2">
      <c r="E170" s="261"/>
    </row>
    <row r="171" spans="5:5" x14ac:dyDescent="0.2">
      <c r="E171" s="261"/>
    </row>
    <row r="172" spans="5:5" x14ac:dyDescent="0.2">
      <c r="E172" s="261"/>
    </row>
    <row r="173" spans="5:5" x14ac:dyDescent="0.2">
      <c r="E173" s="261"/>
    </row>
    <row r="174" spans="5:5" x14ac:dyDescent="0.2">
      <c r="E174" s="261"/>
    </row>
    <row r="175" spans="5:5" x14ac:dyDescent="0.2">
      <c r="E175" s="261"/>
    </row>
    <row r="176" spans="5:5" x14ac:dyDescent="0.2">
      <c r="E176" s="261"/>
    </row>
    <row r="177" spans="5:5" x14ac:dyDescent="0.2">
      <c r="E177" s="261"/>
    </row>
    <row r="178" spans="5:5" x14ac:dyDescent="0.2">
      <c r="E178" s="261"/>
    </row>
    <row r="179" spans="5:5" x14ac:dyDescent="0.2">
      <c r="E179" s="261"/>
    </row>
    <row r="180" spans="5:5" x14ac:dyDescent="0.2">
      <c r="E180" s="261"/>
    </row>
    <row r="181" spans="5:5" x14ac:dyDescent="0.2">
      <c r="E181" s="261"/>
    </row>
    <row r="182" spans="5:5" x14ac:dyDescent="0.2">
      <c r="E182" s="261"/>
    </row>
    <row r="183" spans="5:5" x14ac:dyDescent="0.2">
      <c r="E183" s="261"/>
    </row>
    <row r="184" spans="5:5" x14ac:dyDescent="0.2">
      <c r="E184" s="261"/>
    </row>
    <row r="185" spans="5:5" x14ac:dyDescent="0.2">
      <c r="E185" s="261"/>
    </row>
    <row r="186" spans="5:5" x14ac:dyDescent="0.2">
      <c r="E186" s="261"/>
    </row>
    <row r="187" spans="5:5" x14ac:dyDescent="0.2">
      <c r="E187" s="261"/>
    </row>
    <row r="188" spans="5:5" x14ac:dyDescent="0.2">
      <c r="E188" s="261"/>
    </row>
    <row r="189" spans="5:5" x14ac:dyDescent="0.2">
      <c r="E189" s="261"/>
    </row>
    <row r="190" spans="5:5" x14ac:dyDescent="0.2">
      <c r="E190" s="261"/>
    </row>
    <row r="191" spans="5:5" x14ac:dyDescent="0.2">
      <c r="E191" s="261"/>
    </row>
    <row r="192" spans="5:5" x14ac:dyDescent="0.2">
      <c r="E192" s="261"/>
    </row>
    <row r="193" spans="5:5" x14ac:dyDescent="0.2">
      <c r="E193" s="261"/>
    </row>
    <row r="194" spans="5:5" x14ac:dyDescent="0.2">
      <c r="E194" s="261"/>
    </row>
    <row r="195" spans="5:5" x14ac:dyDescent="0.2">
      <c r="E195" s="261"/>
    </row>
    <row r="196" spans="5:5" x14ac:dyDescent="0.2">
      <c r="E196" s="261"/>
    </row>
    <row r="197" spans="5:5" x14ac:dyDescent="0.2">
      <c r="E197" s="261"/>
    </row>
    <row r="198" spans="5:5" x14ac:dyDescent="0.2">
      <c r="E198" s="261"/>
    </row>
    <row r="199" spans="5:5" x14ac:dyDescent="0.2">
      <c r="E199" s="261"/>
    </row>
    <row r="200" spans="5:5" x14ac:dyDescent="0.2">
      <c r="E200" s="261"/>
    </row>
    <row r="201" spans="5:5" x14ac:dyDescent="0.2">
      <c r="E201" s="261"/>
    </row>
    <row r="202" spans="5:5" x14ac:dyDescent="0.2">
      <c r="E202" s="261"/>
    </row>
    <row r="203" spans="5:5" x14ac:dyDescent="0.2">
      <c r="E203" s="261"/>
    </row>
    <row r="204" spans="5:5" x14ac:dyDescent="0.2">
      <c r="E204" s="261"/>
    </row>
    <row r="205" spans="5:5" x14ac:dyDescent="0.2">
      <c r="E205" s="261"/>
    </row>
    <row r="206" spans="5:5" x14ac:dyDescent="0.2">
      <c r="E206" s="261"/>
    </row>
    <row r="207" spans="5:5" x14ac:dyDescent="0.2">
      <c r="E207" s="261"/>
    </row>
    <row r="208" spans="5:5" x14ac:dyDescent="0.2">
      <c r="E208" s="261"/>
    </row>
    <row r="209" spans="5:5" x14ac:dyDescent="0.2">
      <c r="E209" s="261"/>
    </row>
    <row r="210" spans="5:5" x14ac:dyDescent="0.2">
      <c r="E210" s="261"/>
    </row>
    <row r="211" spans="5:5" x14ac:dyDescent="0.2">
      <c r="E211" s="261"/>
    </row>
    <row r="212" spans="5:5" x14ac:dyDescent="0.2">
      <c r="E212" s="261"/>
    </row>
    <row r="213" spans="5:5" x14ac:dyDescent="0.2">
      <c r="E213" s="261"/>
    </row>
    <row r="214" spans="5:5" x14ac:dyDescent="0.2">
      <c r="E214" s="261"/>
    </row>
    <row r="215" spans="5:5" x14ac:dyDescent="0.2">
      <c r="E215" s="261"/>
    </row>
    <row r="216" spans="5:5" x14ac:dyDescent="0.2">
      <c r="E216" s="261"/>
    </row>
    <row r="217" spans="5:5" x14ac:dyDescent="0.2">
      <c r="E217" s="261"/>
    </row>
    <row r="218" spans="5:5" x14ac:dyDescent="0.2">
      <c r="E218" s="261"/>
    </row>
    <row r="219" spans="5:5" x14ac:dyDescent="0.2">
      <c r="E219" s="261"/>
    </row>
    <row r="220" spans="5:5" x14ac:dyDescent="0.2">
      <c r="E220" s="261"/>
    </row>
    <row r="221" spans="5:5" x14ac:dyDescent="0.2">
      <c r="E221" s="261"/>
    </row>
    <row r="222" spans="5:5" x14ac:dyDescent="0.2">
      <c r="E222" s="261"/>
    </row>
    <row r="223" spans="5:5" x14ac:dyDescent="0.2">
      <c r="E223" s="261"/>
    </row>
    <row r="224" spans="5:5" x14ac:dyDescent="0.2">
      <c r="E224" s="261"/>
    </row>
    <row r="225" spans="5:5" x14ac:dyDescent="0.2">
      <c r="E225" s="261"/>
    </row>
    <row r="226" spans="5:5" x14ac:dyDescent="0.2">
      <c r="E226" s="261"/>
    </row>
    <row r="227" spans="5:5" x14ac:dyDescent="0.2">
      <c r="E227" s="261"/>
    </row>
    <row r="228" spans="5:5" x14ac:dyDescent="0.2">
      <c r="E228" s="261"/>
    </row>
    <row r="229" spans="5:5" x14ac:dyDescent="0.2">
      <c r="E229" s="261"/>
    </row>
    <row r="230" spans="5:5" x14ac:dyDescent="0.2">
      <c r="E230" s="261"/>
    </row>
    <row r="231" spans="5:5" x14ac:dyDescent="0.2">
      <c r="E231" s="261"/>
    </row>
    <row r="232" spans="5:5" x14ac:dyDescent="0.2">
      <c r="E232" s="261"/>
    </row>
    <row r="233" spans="5:5" x14ac:dyDescent="0.2">
      <c r="E233" s="261"/>
    </row>
    <row r="234" spans="5:5" x14ac:dyDescent="0.2">
      <c r="E234" s="261"/>
    </row>
    <row r="235" spans="5:5" x14ac:dyDescent="0.2">
      <c r="E235" s="261"/>
    </row>
    <row r="236" spans="5:5" x14ac:dyDescent="0.2">
      <c r="E236" s="261"/>
    </row>
    <row r="237" spans="5:5" x14ac:dyDescent="0.2">
      <c r="E237" s="261"/>
    </row>
    <row r="238" spans="5:5" x14ac:dyDescent="0.2">
      <c r="E238" s="261"/>
    </row>
    <row r="239" spans="5:5" x14ac:dyDescent="0.2">
      <c r="E239" s="261"/>
    </row>
    <row r="240" spans="5:5" x14ac:dyDescent="0.2">
      <c r="E240" s="261"/>
    </row>
    <row r="241" spans="5:5" x14ac:dyDescent="0.2">
      <c r="E241" s="261"/>
    </row>
    <row r="242" spans="5:5" x14ac:dyDescent="0.2">
      <c r="E242" s="261"/>
    </row>
    <row r="243" spans="5:5" x14ac:dyDescent="0.2">
      <c r="E243" s="261"/>
    </row>
    <row r="244" spans="5:5" x14ac:dyDescent="0.2">
      <c r="E244" s="261"/>
    </row>
    <row r="245" spans="5:5" x14ac:dyDescent="0.2">
      <c r="E245" s="261"/>
    </row>
    <row r="246" spans="5:5" x14ac:dyDescent="0.2">
      <c r="E246" s="261"/>
    </row>
    <row r="247" spans="5:5" x14ac:dyDescent="0.2">
      <c r="E247" s="261"/>
    </row>
    <row r="248" spans="5:5" x14ac:dyDescent="0.2">
      <c r="E248" s="261"/>
    </row>
    <row r="249" spans="5:5" x14ac:dyDescent="0.2">
      <c r="E249" s="261"/>
    </row>
    <row r="250" spans="5:5" x14ac:dyDescent="0.2">
      <c r="E250" s="261"/>
    </row>
    <row r="251" spans="5:5" x14ac:dyDescent="0.2">
      <c r="E251" s="261"/>
    </row>
    <row r="252" spans="5:5" x14ac:dyDescent="0.2">
      <c r="E252" s="261"/>
    </row>
    <row r="253" spans="5:5" x14ac:dyDescent="0.2">
      <c r="E253" s="261"/>
    </row>
    <row r="254" spans="5:5" x14ac:dyDescent="0.2">
      <c r="E254" s="261"/>
    </row>
    <row r="255" spans="5:5" x14ac:dyDescent="0.2">
      <c r="E255" s="261"/>
    </row>
    <row r="256" spans="5:5" x14ac:dyDescent="0.2">
      <c r="E256" s="261"/>
    </row>
    <row r="257" spans="5:5" x14ac:dyDescent="0.2">
      <c r="E257" s="261"/>
    </row>
    <row r="258" spans="5:5" x14ac:dyDescent="0.2">
      <c r="E258" s="261"/>
    </row>
    <row r="259" spans="5:5" x14ac:dyDescent="0.2">
      <c r="E259" s="261"/>
    </row>
    <row r="260" spans="5:5" x14ac:dyDescent="0.2">
      <c r="E260" s="261"/>
    </row>
    <row r="261" spans="5:5" x14ac:dyDescent="0.2">
      <c r="E261" s="261"/>
    </row>
    <row r="262" spans="5:5" x14ac:dyDescent="0.2">
      <c r="E262" s="261"/>
    </row>
    <row r="263" spans="5:5" x14ac:dyDescent="0.2">
      <c r="E263" s="261"/>
    </row>
    <row r="264" spans="5:5" x14ac:dyDescent="0.2">
      <c r="E264" s="261"/>
    </row>
    <row r="265" spans="5:5" x14ac:dyDescent="0.2">
      <c r="E265" s="261"/>
    </row>
    <row r="266" spans="5:5" x14ac:dyDescent="0.2">
      <c r="E266" s="261"/>
    </row>
    <row r="267" spans="5:5" x14ac:dyDescent="0.2">
      <c r="E267" s="261"/>
    </row>
    <row r="268" spans="5:5" x14ac:dyDescent="0.2">
      <c r="E268" s="261"/>
    </row>
    <row r="269" spans="5:5" x14ac:dyDescent="0.2">
      <c r="E269" s="261"/>
    </row>
    <row r="270" spans="5:5" x14ac:dyDescent="0.2">
      <c r="E270" s="261"/>
    </row>
    <row r="271" spans="5:5" x14ac:dyDescent="0.2">
      <c r="E271" s="261"/>
    </row>
    <row r="272" spans="5:5" x14ac:dyDescent="0.2">
      <c r="E272" s="261"/>
    </row>
    <row r="273" spans="5:5" x14ac:dyDescent="0.2">
      <c r="E273" s="261"/>
    </row>
    <row r="274" spans="5:5" x14ac:dyDescent="0.2">
      <c r="E274" s="261"/>
    </row>
    <row r="275" spans="5:5" x14ac:dyDescent="0.2">
      <c r="E275" s="261"/>
    </row>
    <row r="276" spans="5:5" x14ac:dyDescent="0.2">
      <c r="E276" s="261"/>
    </row>
    <row r="277" spans="5:5" x14ac:dyDescent="0.2">
      <c r="E277" s="261"/>
    </row>
    <row r="278" spans="5:5" x14ac:dyDescent="0.2">
      <c r="E278" s="261"/>
    </row>
    <row r="279" spans="5:5" x14ac:dyDescent="0.2">
      <c r="E279" s="261"/>
    </row>
    <row r="280" spans="5:5" x14ac:dyDescent="0.2">
      <c r="E280" s="261"/>
    </row>
    <row r="281" spans="5:5" x14ac:dyDescent="0.2">
      <c r="E281" s="261"/>
    </row>
    <row r="282" spans="5:5" x14ac:dyDescent="0.2">
      <c r="E282" s="261"/>
    </row>
    <row r="283" spans="5:5" x14ac:dyDescent="0.2">
      <c r="E283" s="261"/>
    </row>
    <row r="284" spans="5:5" x14ac:dyDescent="0.2">
      <c r="E284" s="261"/>
    </row>
    <row r="285" spans="5:5" x14ac:dyDescent="0.2">
      <c r="E285" s="261"/>
    </row>
    <row r="286" spans="5:5" x14ac:dyDescent="0.2">
      <c r="E286" s="261"/>
    </row>
    <row r="287" spans="5:5" x14ac:dyDescent="0.2">
      <c r="E287" s="261"/>
    </row>
    <row r="288" spans="5:5" x14ac:dyDescent="0.2">
      <c r="E288" s="261"/>
    </row>
    <row r="289" spans="5:5" x14ac:dyDescent="0.2">
      <c r="E289" s="261"/>
    </row>
    <row r="290" spans="5:5" x14ac:dyDescent="0.2">
      <c r="E290" s="261"/>
    </row>
    <row r="291" spans="5:5" x14ac:dyDescent="0.2">
      <c r="E291" s="261"/>
    </row>
    <row r="292" spans="5:5" x14ac:dyDescent="0.2">
      <c r="E292" s="261"/>
    </row>
    <row r="293" spans="5:5" x14ac:dyDescent="0.2">
      <c r="E293" s="261"/>
    </row>
    <row r="294" spans="5:5" x14ac:dyDescent="0.2">
      <c r="E294" s="261"/>
    </row>
    <row r="295" spans="5:5" x14ac:dyDescent="0.2">
      <c r="E295" s="261"/>
    </row>
    <row r="296" spans="5:5" x14ac:dyDescent="0.2">
      <c r="E296" s="261"/>
    </row>
    <row r="297" spans="5:5" x14ac:dyDescent="0.2">
      <c r="E297" s="261"/>
    </row>
    <row r="298" spans="5:5" x14ac:dyDescent="0.2">
      <c r="E298" s="261"/>
    </row>
    <row r="299" spans="5:5" x14ac:dyDescent="0.2">
      <c r="E299" s="261"/>
    </row>
    <row r="300" spans="5:5" x14ac:dyDescent="0.2">
      <c r="E300" s="261"/>
    </row>
    <row r="301" spans="5:5" x14ac:dyDescent="0.2">
      <c r="E301" s="261"/>
    </row>
    <row r="302" spans="5:5" x14ac:dyDescent="0.2">
      <c r="E302" s="261"/>
    </row>
    <row r="303" spans="5:5" x14ac:dyDescent="0.2">
      <c r="E303" s="261"/>
    </row>
    <row r="304" spans="5:5" x14ac:dyDescent="0.2">
      <c r="E304" s="261"/>
    </row>
    <row r="305" spans="5:5" x14ac:dyDescent="0.2">
      <c r="E305" s="261"/>
    </row>
    <row r="306" spans="5:5" x14ac:dyDescent="0.2">
      <c r="E306" s="261"/>
    </row>
    <row r="307" spans="5:5" x14ac:dyDescent="0.2">
      <c r="E307" s="261"/>
    </row>
    <row r="308" spans="5:5" x14ac:dyDescent="0.2">
      <c r="E308" s="261"/>
    </row>
    <row r="309" spans="5:5" x14ac:dyDescent="0.2">
      <c r="E309" s="261"/>
    </row>
    <row r="310" spans="5:5" x14ac:dyDescent="0.2">
      <c r="E310" s="261"/>
    </row>
    <row r="311" spans="5:5" x14ac:dyDescent="0.2">
      <c r="E311" s="261"/>
    </row>
    <row r="312" spans="5:5" x14ac:dyDescent="0.2">
      <c r="E312" s="261"/>
    </row>
    <row r="313" spans="5:5" x14ac:dyDescent="0.2">
      <c r="E313" s="261"/>
    </row>
    <row r="314" spans="5:5" x14ac:dyDescent="0.2">
      <c r="E314" s="261"/>
    </row>
    <row r="315" spans="5:5" x14ac:dyDescent="0.2">
      <c r="E315" s="261"/>
    </row>
    <row r="316" spans="5:5" x14ac:dyDescent="0.2">
      <c r="E316" s="261"/>
    </row>
    <row r="317" spans="5:5" x14ac:dyDescent="0.2">
      <c r="E317" s="261"/>
    </row>
    <row r="318" spans="5:5" x14ac:dyDescent="0.2">
      <c r="E318" s="261"/>
    </row>
    <row r="319" spans="5:5" x14ac:dyDescent="0.2">
      <c r="E319" s="261"/>
    </row>
    <row r="320" spans="5:5" x14ac:dyDescent="0.2">
      <c r="E320" s="261"/>
    </row>
    <row r="321" spans="5:5" x14ac:dyDescent="0.2">
      <c r="E321" s="261"/>
    </row>
    <row r="322" spans="5:5" x14ac:dyDescent="0.2">
      <c r="E322" s="261"/>
    </row>
    <row r="323" spans="5:5" x14ac:dyDescent="0.2">
      <c r="E323" s="261"/>
    </row>
    <row r="324" spans="5:5" x14ac:dyDescent="0.2">
      <c r="E324" s="261"/>
    </row>
    <row r="325" spans="5:5" x14ac:dyDescent="0.2">
      <c r="E325" s="261"/>
    </row>
    <row r="326" spans="5:5" x14ac:dyDescent="0.2">
      <c r="E326" s="261"/>
    </row>
    <row r="327" spans="5:5" x14ac:dyDescent="0.2">
      <c r="E327" s="261"/>
    </row>
    <row r="328" spans="5:5" x14ac:dyDescent="0.2">
      <c r="E328" s="261"/>
    </row>
    <row r="329" spans="5:5" x14ac:dyDescent="0.2">
      <c r="E329" s="261"/>
    </row>
    <row r="330" spans="5:5" x14ac:dyDescent="0.2">
      <c r="E330" s="261"/>
    </row>
    <row r="331" spans="5:5" x14ac:dyDescent="0.2">
      <c r="E331" s="261"/>
    </row>
    <row r="332" spans="5:5" x14ac:dyDescent="0.2">
      <c r="E332" s="261"/>
    </row>
    <row r="333" spans="5:5" x14ac:dyDescent="0.2">
      <c r="E333" s="261"/>
    </row>
    <row r="334" spans="5:5" x14ac:dyDescent="0.2">
      <c r="E334" s="261"/>
    </row>
    <row r="335" spans="5:5" x14ac:dyDescent="0.2">
      <c r="E335" s="261"/>
    </row>
    <row r="336" spans="5:5" x14ac:dyDescent="0.2">
      <c r="E336" s="261"/>
    </row>
    <row r="337" spans="5:5" x14ac:dyDescent="0.2">
      <c r="E337" s="261"/>
    </row>
    <row r="338" spans="5:5" x14ac:dyDescent="0.2">
      <c r="E338" s="261"/>
    </row>
    <row r="339" spans="5:5" x14ac:dyDescent="0.2">
      <c r="E339" s="261"/>
    </row>
    <row r="340" spans="5:5" x14ac:dyDescent="0.2">
      <c r="E340" s="261"/>
    </row>
    <row r="341" spans="5:5" x14ac:dyDescent="0.2">
      <c r="E341" s="261"/>
    </row>
    <row r="342" spans="5:5" x14ac:dyDescent="0.2">
      <c r="E342" s="261"/>
    </row>
    <row r="343" spans="5:5" x14ac:dyDescent="0.2">
      <c r="E343" s="261"/>
    </row>
    <row r="344" spans="5:5" x14ac:dyDescent="0.2">
      <c r="E344" s="261"/>
    </row>
    <row r="345" spans="5:5" x14ac:dyDescent="0.2">
      <c r="E345" s="261"/>
    </row>
    <row r="346" spans="5:5" x14ac:dyDescent="0.2">
      <c r="E346" s="261"/>
    </row>
    <row r="347" spans="5:5" x14ac:dyDescent="0.2">
      <c r="E347" s="261"/>
    </row>
    <row r="348" spans="5:5" x14ac:dyDescent="0.2">
      <c r="E348" s="261"/>
    </row>
    <row r="349" spans="5:5" x14ac:dyDescent="0.2">
      <c r="E349" s="261"/>
    </row>
    <row r="350" spans="5:5" x14ac:dyDescent="0.2">
      <c r="E350" s="261"/>
    </row>
    <row r="351" spans="5:5" x14ac:dyDescent="0.2">
      <c r="E351" s="261"/>
    </row>
    <row r="352" spans="5:5" x14ac:dyDescent="0.2">
      <c r="E352" s="261"/>
    </row>
    <row r="353" spans="5:5" x14ac:dyDescent="0.2">
      <c r="E353" s="261"/>
    </row>
    <row r="354" spans="5:5" x14ac:dyDescent="0.2">
      <c r="E354" s="261"/>
    </row>
    <row r="355" spans="5:5" x14ac:dyDescent="0.2">
      <c r="E355" s="261"/>
    </row>
    <row r="356" spans="5:5" x14ac:dyDescent="0.2">
      <c r="E356" s="261"/>
    </row>
    <row r="357" spans="5:5" x14ac:dyDescent="0.2">
      <c r="E357" s="261"/>
    </row>
    <row r="358" spans="5:5" x14ac:dyDescent="0.2">
      <c r="E358" s="261"/>
    </row>
    <row r="359" spans="5:5" x14ac:dyDescent="0.2">
      <c r="E359" s="261"/>
    </row>
    <row r="360" spans="5:5" x14ac:dyDescent="0.2">
      <c r="E360" s="261"/>
    </row>
    <row r="361" spans="5:5" x14ac:dyDescent="0.2">
      <c r="E361" s="261"/>
    </row>
    <row r="362" spans="5:5" x14ac:dyDescent="0.2">
      <c r="E362" s="261"/>
    </row>
    <row r="363" spans="5:5" x14ac:dyDescent="0.2">
      <c r="E363" s="261"/>
    </row>
    <row r="364" spans="5:5" x14ac:dyDescent="0.2">
      <c r="E364" s="261"/>
    </row>
    <row r="365" spans="5:5" x14ac:dyDescent="0.2">
      <c r="E365" s="261"/>
    </row>
    <row r="366" spans="5:5" x14ac:dyDescent="0.2">
      <c r="E366" s="261"/>
    </row>
    <row r="367" spans="5:5" x14ac:dyDescent="0.2">
      <c r="E367" s="261"/>
    </row>
    <row r="368" spans="5:5" x14ac:dyDescent="0.2">
      <c r="E368" s="261"/>
    </row>
    <row r="369" spans="5:5" x14ac:dyDescent="0.2">
      <c r="E369" s="261"/>
    </row>
    <row r="370" spans="5:5" x14ac:dyDescent="0.2">
      <c r="E370" s="261"/>
    </row>
    <row r="371" spans="5:5" x14ac:dyDescent="0.2">
      <c r="E371" s="261"/>
    </row>
    <row r="372" spans="5:5" x14ac:dyDescent="0.2">
      <c r="E372" s="261"/>
    </row>
    <row r="373" spans="5:5" x14ac:dyDescent="0.2">
      <c r="E373" s="261"/>
    </row>
    <row r="374" spans="5:5" x14ac:dyDescent="0.2">
      <c r="E374" s="261"/>
    </row>
    <row r="375" spans="5:5" x14ac:dyDescent="0.2">
      <c r="E375" s="261"/>
    </row>
    <row r="376" spans="5:5" x14ac:dyDescent="0.2">
      <c r="E376" s="261"/>
    </row>
    <row r="377" spans="5:5" x14ac:dyDescent="0.2">
      <c r="E377" s="261"/>
    </row>
    <row r="378" spans="5:5" x14ac:dyDescent="0.2">
      <c r="E378" s="261"/>
    </row>
    <row r="379" spans="5:5" x14ac:dyDescent="0.2">
      <c r="E379" s="261"/>
    </row>
    <row r="380" spans="5:5" x14ac:dyDescent="0.2">
      <c r="E380" s="261"/>
    </row>
    <row r="381" spans="5:5" x14ac:dyDescent="0.2">
      <c r="E381" s="261"/>
    </row>
    <row r="382" spans="5:5" x14ac:dyDescent="0.2">
      <c r="E382" s="261"/>
    </row>
    <row r="383" spans="5:5" x14ac:dyDescent="0.2">
      <c r="E383" s="261"/>
    </row>
    <row r="384" spans="5:5" x14ac:dyDescent="0.2">
      <c r="E384" s="261"/>
    </row>
    <row r="385" spans="5:5" x14ac:dyDescent="0.2">
      <c r="E385" s="261"/>
    </row>
    <row r="386" spans="5:5" x14ac:dyDescent="0.2">
      <c r="E386" s="261"/>
    </row>
    <row r="387" spans="5:5" x14ac:dyDescent="0.2">
      <c r="E387" s="261"/>
    </row>
    <row r="388" spans="5:5" x14ac:dyDescent="0.2">
      <c r="E388" s="261"/>
    </row>
    <row r="389" spans="5:5" x14ac:dyDescent="0.2">
      <c r="E389" s="261"/>
    </row>
    <row r="390" spans="5:5" x14ac:dyDescent="0.2">
      <c r="E390" s="261"/>
    </row>
    <row r="391" spans="5:5" x14ac:dyDescent="0.2">
      <c r="E391" s="261"/>
    </row>
    <row r="392" spans="5:5" x14ac:dyDescent="0.2">
      <c r="E392" s="261"/>
    </row>
    <row r="393" spans="5:5" x14ac:dyDescent="0.2">
      <c r="E393" s="261"/>
    </row>
    <row r="394" spans="5:5" x14ac:dyDescent="0.2">
      <c r="E394" s="261"/>
    </row>
    <row r="395" spans="5:5" x14ac:dyDescent="0.2">
      <c r="E395" s="261"/>
    </row>
    <row r="396" spans="5:5" x14ac:dyDescent="0.2">
      <c r="E396" s="261"/>
    </row>
    <row r="397" spans="5:5" x14ac:dyDescent="0.2">
      <c r="E397" s="261"/>
    </row>
    <row r="398" spans="5:5" x14ac:dyDescent="0.2">
      <c r="E398" s="261"/>
    </row>
    <row r="399" spans="5:5" x14ac:dyDescent="0.2">
      <c r="E399" s="261"/>
    </row>
    <row r="400" spans="5:5" x14ac:dyDescent="0.2">
      <c r="E400" s="261"/>
    </row>
    <row r="401" spans="5:5" x14ac:dyDescent="0.2">
      <c r="E401" s="261"/>
    </row>
    <row r="402" spans="5:5" x14ac:dyDescent="0.2">
      <c r="E402" s="261"/>
    </row>
    <row r="403" spans="5:5" x14ac:dyDescent="0.2">
      <c r="E403" s="261"/>
    </row>
    <row r="404" spans="5:5" x14ac:dyDescent="0.2">
      <c r="E404" s="261"/>
    </row>
    <row r="405" spans="5:5" x14ac:dyDescent="0.2">
      <c r="E405" s="261"/>
    </row>
    <row r="406" spans="5:5" x14ac:dyDescent="0.2">
      <c r="E406" s="261"/>
    </row>
    <row r="407" spans="5:5" x14ac:dyDescent="0.2">
      <c r="E407" s="261"/>
    </row>
    <row r="408" spans="5:5" x14ac:dyDescent="0.2">
      <c r="E408" s="261"/>
    </row>
    <row r="409" spans="5:5" x14ac:dyDescent="0.2">
      <c r="E409" s="261"/>
    </row>
    <row r="410" spans="5:5" x14ac:dyDescent="0.2">
      <c r="E410" s="261"/>
    </row>
    <row r="411" spans="5:5" x14ac:dyDescent="0.2">
      <c r="E411" s="261"/>
    </row>
    <row r="412" spans="5:5" x14ac:dyDescent="0.2">
      <c r="E412" s="261"/>
    </row>
    <row r="413" spans="5:5" x14ac:dyDescent="0.2">
      <c r="E413" s="261"/>
    </row>
    <row r="414" spans="5:5" x14ac:dyDescent="0.2">
      <c r="E414" s="261"/>
    </row>
    <row r="415" spans="5:5" x14ac:dyDescent="0.2">
      <c r="E415" s="261"/>
    </row>
    <row r="416" spans="5:5" x14ac:dyDescent="0.2">
      <c r="E416" s="261"/>
    </row>
    <row r="417" spans="5:5" x14ac:dyDescent="0.2">
      <c r="E417" s="261"/>
    </row>
    <row r="418" spans="5:5" x14ac:dyDescent="0.2">
      <c r="E418" s="261"/>
    </row>
    <row r="419" spans="5:5" x14ac:dyDescent="0.2">
      <c r="E419" s="261"/>
    </row>
    <row r="420" spans="5:5" x14ac:dyDescent="0.2">
      <c r="E420" s="261"/>
    </row>
    <row r="421" spans="5:5" x14ac:dyDescent="0.2">
      <c r="E421" s="261"/>
    </row>
    <row r="422" spans="5:5" x14ac:dyDescent="0.2">
      <c r="E422" s="261"/>
    </row>
    <row r="423" spans="5:5" x14ac:dyDescent="0.2">
      <c r="E423" s="261"/>
    </row>
    <row r="424" spans="5:5" x14ac:dyDescent="0.2">
      <c r="E424" s="261"/>
    </row>
    <row r="425" spans="5:5" x14ac:dyDescent="0.2">
      <c r="E425" s="261"/>
    </row>
    <row r="426" spans="5:5" x14ac:dyDescent="0.2">
      <c r="E426" s="261"/>
    </row>
    <row r="427" spans="5:5" x14ac:dyDescent="0.2">
      <c r="E427" s="261"/>
    </row>
    <row r="428" spans="5:5" x14ac:dyDescent="0.2">
      <c r="E428" s="261"/>
    </row>
    <row r="429" spans="5:5" x14ac:dyDescent="0.2">
      <c r="E429" s="261"/>
    </row>
    <row r="430" spans="5:5" x14ac:dyDescent="0.2">
      <c r="E430" s="261"/>
    </row>
    <row r="431" spans="5:5" x14ac:dyDescent="0.2">
      <c r="E431" s="261"/>
    </row>
    <row r="432" spans="5:5" x14ac:dyDescent="0.2">
      <c r="E432" s="261"/>
    </row>
    <row r="433" spans="5:5" x14ac:dyDescent="0.2">
      <c r="E433" s="261"/>
    </row>
    <row r="434" spans="5:5" x14ac:dyDescent="0.2">
      <c r="E434" s="261"/>
    </row>
    <row r="435" spans="5:5" x14ac:dyDescent="0.2">
      <c r="E435" s="261"/>
    </row>
    <row r="436" spans="5:5" x14ac:dyDescent="0.2">
      <c r="E436" s="261"/>
    </row>
    <row r="437" spans="5:5" x14ac:dyDescent="0.2">
      <c r="E437" s="261"/>
    </row>
    <row r="438" spans="5:5" x14ac:dyDescent="0.2">
      <c r="E438" s="261"/>
    </row>
    <row r="439" spans="5:5" x14ac:dyDescent="0.2">
      <c r="E439" s="261"/>
    </row>
    <row r="440" spans="5:5" x14ac:dyDescent="0.2">
      <c r="E440" s="261"/>
    </row>
    <row r="441" spans="5:5" x14ac:dyDescent="0.2">
      <c r="E441" s="261"/>
    </row>
    <row r="442" spans="5:5" x14ac:dyDescent="0.2">
      <c r="E442" s="261"/>
    </row>
    <row r="443" spans="5:5" x14ac:dyDescent="0.2">
      <c r="E443" s="261"/>
    </row>
    <row r="444" spans="5:5" x14ac:dyDescent="0.2">
      <c r="E444" s="261"/>
    </row>
    <row r="445" spans="5:5" x14ac:dyDescent="0.2">
      <c r="E445" s="261"/>
    </row>
    <row r="446" spans="5:5" x14ac:dyDescent="0.2">
      <c r="E446" s="261"/>
    </row>
    <row r="447" spans="5:5" x14ac:dyDescent="0.2">
      <c r="E447" s="261"/>
    </row>
    <row r="448" spans="5:5" x14ac:dyDescent="0.2">
      <c r="E448" s="261"/>
    </row>
    <row r="449" spans="5:5" x14ac:dyDescent="0.2">
      <c r="E449" s="261"/>
    </row>
    <row r="450" spans="5:5" x14ac:dyDescent="0.2">
      <c r="E450" s="261"/>
    </row>
    <row r="451" spans="5:5" x14ac:dyDescent="0.2">
      <c r="E451" s="261"/>
    </row>
    <row r="452" spans="5:5" x14ac:dyDescent="0.2">
      <c r="E452" s="261"/>
    </row>
    <row r="453" spans="5:5" x14ac:dyDescent="0.2">
      <c r="E453" s="261"/>
    </row>
    <row r="454" spans="5:5" x14ac:dyDescent="0.2">
      <c r="E454" s="261"/>
    </row>
    <row r="455" spans="5:5" x14ac:dyDescent="0.2">
      <c r="E455" s="261"/>
    </row>
    <row r="456" spans="5:5" x14ac:dyDescent="0.2">
      <c r="E456" s="261"/>
    </row>
    <row r="457" spans="5:5" x14ac:dyDescent="0.2">
      <c r="E457" s="261"/>
    </row>
    <row r="458" spans="5:5" x14ac:dyDescent="0.2">
      <c r="E458" s="261"/>
    </row>
    <row r="459" spans="5:5" x14ac:dyDescent="0.2">
      <c r="E459" s="261"/>
    </row>
    <row r="460" spans="5:5" x14ac:dyDescent="0.2">
      <c r="E460" s="261"/>
    </row>
    <row r="461" spans="5:5" x14ac:dyDescent="0.2">
      <c r="E461" s="261"/>
    </row>
    <row r="462" spans="5:5" x14ac:dyDescent="0.2">
      <c r="E462" s="261"/>
    </row>
    <row r="463" spans="5:5" x14ac:dyDescent="0.2">
      <c r="E463" s="261"/>
    </row>
    <row r="464" spans="5:5" x14ac:dyDescent="0.2">
      <c r="E464" s="261"/>
    </row>
    <row r="465" spans="5:5" x14ac:dyDescent="0.2">
      <c r="E465" s="261"/>
    </row>
    <row r="466" spans="5:5" x14ac:dyDescent="0.2">
      <c r="E466" s="261"/>
    </row>
    <row r="467" spans="5:5" x14ac:dyDescent="0.2">
      <c r="E467" s="261"/>
    </row>
    <row r="468" spans="5:5" x14ac:dyDescent="0.2">
      <c r="E468" s="261"/>
    </row>
    <row r="469" spans="5:5" x14ac:dyDescent="0.2">
      <c r="E469" s="261"/>
    </row>
    <row r="470" spans="5:5" x14ac:dyDescent="0.2">
      <c r="E470" s="261"/>
    </row>
    <row r="471" spans="5:5" x14ac:dyDescent="0.2">
      <c r="E471" s="261"/>
    </row>
    <row r="472" spans="5:5" x14ac:dyDescent="0.2">
      <c r="E472" s="261"/>
    </row>
    <row r="473" spans="5:5" x14ac:dyDescent="0.2">
      <c r="E473" s="261"/>
    </row>
    <row r="474" spans="5:5" x14ac:dyDescent="0.2">
      <c r="E474" s="261"/>
    </row>
    <row r="475" spans="5:5" x14ac:dyDescent="0.2">
      <c r="E475" s="261"/>
    </row>
    <row r="476" spans="5:5" x14ac:dyDescent="0.2">
      <c r="E476" s="261"/>
    </row>
    <row r="477" spans="5:5" x14ac:dyDescent="0.2">
      <c r="E477" s="261"/>
    </row>
    <row r="478" spans="5:5" x14ac:dyDescent="0.2">
      <c r="E478" s="261"/>
    </row>
    <row r="479" spans="5:5" x14ac:dyDescent="0.2">
      <c r="E479" s="261"/>
    </row>
    <row r="480" spans="5:5" x14ac:dyDescent="0.2">
      <c r="E480" s="261"/>
    </row>
    <row r="481" spans="5:5" x14ac:dyDescent="0.2">
      <c r="E481" s="261"/>
    </row>
    <row r="482" spans="5:5" x14ac:dyDescent="0.2">
      <c r="E482" s="261"/>
    </row>
    <row r="483" spans="5:5" x14ac:dyDescent="0.2">
      <c r="E483" s="261"/>
    </row>
    <row r="484" spans="5:5" x14ac:dyDescent="0.2">
      <c r="E484" s="261"/>
    </row>
    <row r="485" spans="5:5" x14ac:dyDescent="0.2">
      <c r="E485" s="261"/>
    </row>
    <row r="486" spans="5:5" x14ac:dyDescent="0.2">
      <c r="E486" s="261"/>
    </row>
    <row r="487" spans="5:5" x14ac:dyDescent="0.2">
      <c r="E487" s="261"/>
    </row>
    <row r="488" spans="5:5" x14ac:dyDescent="0.2">
      <c r="E488" s="261"/>
    </row>
    <row r="489" spans="5:5" x14ac:dyDescent="0.2">
      <c r="E489" s="261"/>
    </row>
    <row r="490" spans="5:5" x14ac:dyDescent="0.2">
      <c r="E490" s="261"/>
    </row>
    <row r="491" spans="5:5" x14ac:dyDescent="0.2">
      <c r="E491" s="261"/>
    </row>
    <row r="492" spans="5:5" x14ac:dyDescent="0.2">
      <c r="E492" s="261"/>
    </row>
    <row r="493" spans="5:5" x14ac:dyDescent="0.2">
      <c r="E493" s="261"/>
    </row>
    <row r="494" spans="5:5" x14ac:dyDescent="0.2">
      <c r="E494" s="261"/>
    </row>
    <row r="495" spans="5:5" x14ac:dyDescent="0.2">
      <c r="E495" s="261"/>
    </row>
    <row r="496" spans="5:5" x14ac:dyDescent="0.2">
      <c r="E496" s="261"/>
    </row>
    <row r="497" spans="5:5" x14ac:dyDescent="0.2">
      <c r="E497" s="261"/>
    </row>
    <row r="498" spans="5:5" x14ac:dyDescent="0.2">
      <c r="E498" s="261"/>
    </row>
    <row r="499" spans="5:5" x14ac:dyDescent="0.2">
      <c r="E499" s="261"/>
    </row>
    <row r="500" spans="5:5" x14ac:dyDescent="0.2">
      <c r="E500" s="261"/>
    </row>
    <row r="501" spans="5:5" x14ac:dyDescent="0.2">
      <c r="E501" s="261"/>
    </row>
    <row r="502" spans="5:5" x14ac:dyDescent="0.2">
      <c r="E502" s="261"/>
    </row>
    <row r="503" spans="5:5" x14ac:dyDescent="0.2">
      <c r="E503" s="261"/>
    </row>
    <row r="504" spans="5:5" x14ac:dyDescent="0.2">
      <c r="E504" s="261"/>
    </row>
    <row r="505" spans="5:5" x14ac:dyDescent="0.2">
      <c r="E505" s="261"/>
    </row>
    <row r="506" spans="5:5" x14ac:dyDescent="0.2">
      <c r="E506" s="261"/>
    </row>
    <row r="507" spans="5:5" x14ac:dyDescent="0.2">
      <c r="E507" s="261"/>
    </row>
    <row r="508" spans="5:5" x14ac:dyDescent="0.2">
      <c r="E508" s="261"/>
    </row>
    <row r="509" spans="5:5" x14ac:dyDescent="0.2">
      <c r="E509" s="261"/>
    </row>
    <row r="510" spans="5:5" x14ac:dyDescent="0.2">
      <c r="E510" s="261"/>
    </row>
    <row r="511" spans="5:5" x14ac:dyDescent="0.2">
      <c r="E511" s="261"/>
    </row>
    <row r="512" spans="5:5" x14ac:dyDescent="0.2">
      <c r="E512" s="261"/>
    </row>
    <row r="513" spans="5:5" x14ac:dyDescent="0.2">
      <c r="E513" s="261"/>
    </row>
    <row r="514" spans="5:5" x14ac:dyDescent="0.2">
      <c r="E514" s="261"/>
    </row>
    <row r="515" spans="5:5" x14ac:dyDescent="0.2">
      <c r="E515" s="261"/>
    </row>
    <row r="516" spans="5:5" x14ac:dyDescent="0.2">
      <c r="E516" s="261"/>
    </row>
    <row r="517" spans="5:5" x14ac:dyDescent="0.2">
      <c r="E517" s="261"/>
    </row>
    <row r="518" spans="5:5" x14ac:dyDescent="0.2">
      <c r="E518" s="261"/>
    </row>
    <row r="519" spans="5:5" x14ac:dyDescent="0.2">
      <c r="E519" s="261"/>
    </row>
    <row r="520" spans="5:5" x14ac:dyDescent="0.2">
      <c r="E520" s="261"/>
    </row>
    <row r="521" spans="5:5" x14ac:dyDescent="0.2">
      <c r="E521" s="261"/>
    </row>
    <row r="522" spans="5:5" x14ac:dyDescent="0.2">
      <c r="E522" s="261"/>
    </row>
    <row r="523" spans="5:5" x14ac:dyDescent="0.2">
      <c r="E523" s="261"/>
    </row>
    <row r="524" spans="5:5" x14ac:dyDescent="0.2">
      <c r="E524" s="261"/>
    </row>
    <row r="525" spans="5:5" x14ac:dyDescent="0.2">
      <c r="E525" s="261"/>
    </row>
    <row r="526" spans="5:5" x14ac:dyDescent="0.2">
      <c r="E526" s="261"/>
    </row>
    <row r="527" spans="5:5" x14ac:dyDescent="0.2">
      <c r="E527" s="261"/>
    </row>
    <row r="528" spans="5:5" x14ac:dyDescent="0.2">
      <c r="E528" s="261"/>
    </row>
    <row r="529" spans="5:5" x14ac:dyDescent="0.2">
      <c r="E529" s="261"/>
    </row>
    <row r="530" spans="5:5" x14ac:dyDescent="0.2">
      <c r="E530" s="261"/>
    </row>
    <row r="531" spans="5:5" x14ac:dyDescent="0.2">
      <c r="E531" s="261"/>
    </row>
    <row r="532" spans="5:5" x14ac:dyDescent="0.2">
      <c r="E532" s="261"/>
    </row>
    <row r="533" spans="5:5" x14ac:dyDescent="0.2">
      <c r="E533" s="261"/>
    </row>
    <row r="534" spans="5:5" x14ac:dyDescent="0.2">
      <c r="E534" s="261"/>
    </row>
    <row r="535" spans="5:5" x14ac:dyDescent="0.2">
      <c r="E535" s="261"/>
    </row>
    <row r="536" spans="5:5" x14ac:dyDescent="0.2">
      <c r="E536" s="261"/>
    </row>
    <row r="537" spans="5:5" x14ac:dyDescent="0.2">
      <c r="E537" s="261"/>
    </row>
    <row r="538" spans="5:5" x14ac:dyDescent="0.2">
      <c r="E538" s="261"/>
    </row>
    <row r="539" spans="5:5" x14ac:dyDescent="0.2">
      <c r="E539" s="261"/>
    </row>
    <row r="540" spans="5:5" x14ac:dyDescent="0.2">
      <c r="E540" s="261"/>
    </row>
    <row r="541" spans="5:5" x14ac:dyDescent="0.2">
      <c r="E541" s="261"/>
    </row>
    <row r="542" spans="5:5" x14ac:dyDescent="0.2">
      <c r="E542" s="261"/>
    </row>
    <row r="543" spans="5:5" x14ac:dyDescent="0.2">
      <c r="E543" s="261"/>
    </row>
    <row r="544" spans="5:5" x14ac:dyDescent="0.2">
      <c r="E544" s="261"/>
    </row>
    <row r="545" spans="5:5" x14ac:dyDescent="0.2">
      <c r="E545" s="261"/>
    </row>
    <row r="546" spans="5:5" x14ac:dyDescent="0.2">
      <c r="E546" s="261"/>
    </row>
    <row r="547" spans="5:5" x14ac:dyDescent="0.2">
      <c r="E547" s="261"/>
    </row>
    <row r="548" spans="5:5" x14ac:dyDescent="0.2">
      <c r="E548" s="261"/>
    </row>
    <row r="549" spans="5:5" x14ac:dyDescent="0.2">
      <c r="E549" s="261"/>
    </row>
    <row r="550" spans="5:5" x14ac:dyDescent="0.2">
      <c r="E550" s="261"/>
    </row>
    <row r="551" spans="5:5" x14ac:dyDescent="0.2">
      <c r="E551" s="261"/>
    </row>
    <row r="552" spans="5:5" x14ac:dyDescent="0.2">
      <c r="E552" s="261"/>
    </row>
    <row r="553" spans="5:5" x14ac:dyDescent="0.2">
      <c r="E553" s="261"/>
    </row>
    <row r="554" spans="5:5" x14ac:dyDescent="0.2">
      <c r="E554" s="261"/>
    </row>
    <row r="555" spans="5:5" x14ac:dyDescent="0.2">
      <c r="E555" s="261"/>
    </row>
    <row r="556" spans="5:5" x14ac:dyDescent="0.2">
      <c r="E556" s="261"/>
    </row>
    <row r="557" spans="5:5" x14ac:dyDescent="0.2">
      <c r="E557" s="261"/>
    </row>
    <row r="558" spans="5:5" x14ac:dyDescent="0.2">
      <c r="E558" s="261"/>
    </row>
    <row r="559" spans="5:5" x14ac:dyDescent="0.2">
      <c r="E559" s="261"/>
    </row>
    <row r="560" spans="5:5" x14ac:dyDescent="0.2">
      <c r="E560" s="261"/>
    </row>
  </sheetData>
  <conditionalFormatting sqref="I9:I22 I24:I27">
    <cfRule type="cellIs" dxfId="1" priority="1" operator="greaterThan">
      <formula>$H$23</formula>
    </cfRule>
  </conditionalFormatting>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Y61"/>
  <sheetViews>
    <sheetView tabSelected="1" topLeftCell="A2" zoomScale="115" zoomScaleNormal="115" workbookViewId="0"/>
  </sheetViews>
  <sheetFormatPr defaultColWidth="11.42578125" defaultRowHeight="12.75" x14ac:dyDescent="0.2"/>
  <cols>
    <col min="1" max="1" width="3.42578125" style="99" bestFit="1" customWidth="1"/>
    <col min="2" max="2" width="9.5703125" style="100" customWidth="1"/>
    <col min="3" max="3" width="68" style="99" customWidth="1"/>
    <col min="4" max="4" width="14.42578125" style="102" customWidth="1"/>
    <col min="5" max="5" width="20.7109375" style="104" customWidth="1"/>
    <col min="6" max="6" width="13.5703125" style="104" customWidth="1"/>
    <col min="7" max="7" width="15.5703125" style="104" bestFit="1" customWidth="1"/>
    <col min="8" max="8" width="14.5703125" style="104" customWidth="1"/>
    <col min="9" max="9" width="14.42578125" style="104" customWidth="1"/>
    <col min="10" max="10" width="14.42578125" style="105" customWidth="1"/>
    <col min="11" max="11" width="17" style="105" bestFit="1" customWidth="1"/>
    <col min="12" max="13" width="11.42578125" style="105" customWidth="1"/>
    <col min="14" max="14" width="11" style="105" hidden="1" customWidth="1"/>
    <col min="15" max="23" width="11.42578125" style="105" customWidth="1"/>
    <col min="24" max="16384" width="11.42578125" style="99"/>
  </cols>
  <sheetData>
    <row r="1" spans="1:23" x14ac:dyDescent="0.2">
      <c r="C1" s="101" t="s">
        <v>5</v>
      </c>
      <c r="E1" s="103" t="s">
        <v>5</v>
      </c>
      <c r="F1" s="103"/>
      <c r="G1" s="103"/>
    </row>
    <row r="2" spans="1:23" s="114" customFormat="1" ht="54" customHeight="1" thickBot="1" x14ac:dyDescent="0.25">
      <c r="A2" s="106" t="s">
        <v>38</v>
      </c>
      <c r="B2" s="107" t="s">
        <v>39</v>
      </c>
      <c r="C2" s="108" t="s">
        <v>40</v>
      </c>
      <c r="D2" s="109" t="s">
        <v>41</v>
      </c>
      <c r="E2" s="110" t="s">
        <v>42</v>
      </c>
      <c r="F2" s="111" t="s">
        <v>43</v>
      </c>
      <c r="G2" s="112" t="s">
        <v>44</v>
      </c>
      <c r="H2" s="110" t="s">
        <v>45</v>
      </c>
      <c r="I2" s="110" t="s">
        <v>46</v>
      </c>
      <c r="J2" s="112" t="s">
        <v>47</v>
      </c>
      <c r="K2" s="110" t="s">
        <v>48</v>
      </c>
      <c r="L2" s="113"/>
      <c r="M2" s="113"/>
      <c r="N2" s="113"/>
      <c r="O2" s="113"/>
      <c r="P2" s="113"/>
      <c r="Q2" s="113"/>
      <c r="R2" s="113"/>
      <c r="S2" s="113"/>
      <c r="T2" s="113"/>
      <c r="U2" s="113"/>
      <c r="V2" s="113"/>
      <c r="W2" s="113"/>
    </row>
    <row r="3" spans="1:23" x14ac:dyDescent="0.2">
      <c r="A3" s="115"/>
      <c r="B3" s="116"/>
      <c r="C3" s="117" t="s">
        <v>69</v>
      </c>
      <c r="D3" s="198">
        <v>5364500</v>
      </c>
      <c r="E3" s="199"/>
      <c r="F3" s="118"/>
      <c r="G3" s="118"/>
      <c r="H3" s="118"/>
    </row>
    <row r="4" spans="1:23" x14ac:dyDescent="0.2">
      <c r="A4" s="115"/>
      <c r="B4" s="116"/>
      <c r="C4" s="117" t="s">
        <v>43</v>
      </c>
      <c r="D4" s="119">
        <f>F40</f>
        <v>0</v>
      </c>
      <c r="E4" s="118"/>
      <c r="F4" s="118"/>
      <c r="G4" s="118"/>
      <c r="H4" s="118"/>
    </row>
    <row r="5" spans="1:23" x14ac:dyDescent="0.2">
      <c r="A5" s="115"/>
      <c r="B5" s="116"/>
      <c r="C5" s="117" t="s">
        <v>49</v>
      </c>
      <c r="D5" s="119"/>
      <c r="E5" s="120">
        <v>0</v>
      </c>
      <c r="F5" s="118"/>
      <c r="G5" s="118"/>
      <c r="H5" s="118"/>
    </row>
    <row r="6" spans="1:23" ht="13.5" thickBot="1" x14ac:dyDescent="0.25">
      <c r="A6" s="115"/>
      <c r="B6" s="116"/>
      <c r="C6" s="117" t="s">
        <v>50</v>
      </c>
      <c r="D6" s="119"/>
      <c r="E6" s="121">
        <f>D3+D4-E5</f>
        <v>5364500</v>
      </c>
      <c r="F6" s="118"/>
      <c r="G6" s="118"/>
      <c r="H6" s="118"/>
    </row>
    <row r="7" spans="1:23" ht="14.25" thickTop="1" thickBot="1" x14ac:dyDescent="0.25">
      <c r="A7" s="115"/>
      <c r="B7" s="116" t="s">
        <v>51</v>
      </c>
      <c r="C7" s="117" t="s">
        <v>52</v>
      </c>
      <c r="D7" s="119"/>
      <c r="E7" s="122">
        <f>G40</f>
        <v>5364500</v>
      </c>
      <c r="F7" s="118"/>
      <c r="G7" s="118"/>
      <c r="H7" s="118"/>
    </row>
    <row r="8" spans="1:23" ht="13.5" thickBot="1" x14ac:dyDescent="0.25">
      <c r="A8" s="115"/>
      <c r="B8" s="116"/>
      <c r="C8" s="117" t="s">
        <v>53</v>
      </c>
      <c r="D8" s="119"/>
      <c r="E8" s="123">
        <f>E6-E7</f>
        <v>0</v>
      </c>
      <c r="F8" s="118"/>
      <c r="G8" s="118"/>
      <c r="H8" s="118"/>
    </row>
    <row r="9" spans="1:23" x14ac:dyDescent="0.2">
      <c r="A9" s="115"/>
      <c r="B9" s="116"/>
      <c r="C9" s="124"/>
      <c r="D9" s="119"/>
      <c r="E9" s="118"/>
      <c r="F9" s="118"/>
      <c r="G9" s="118"/>
      <c r="H9" s="118"/>
    </row>
    <row r="10" spans="1:23" x14ac:dyDescent="0.2">
      <c r="A10" s="115"/>
      <c r="B10" s="116"/>
      <c r="C10" s="124"/>
      <c r="D10" s="119"/>
      <c r="E10" s="118"/>
      <c r="F10" s="118"/>
      <c r="G10" s="118"/>
      <c r="H10" s="118"/>
    </row>
    <row r="11" spans="1:23" x14ac:dyDescent="0.2">
      <c r="A11" s="115"/>
      <c r="B11" s="116"/>
      <c r="C11" s="124"/>
      <c r="D11" s="119"/>
      <c r="E11" s="118"/>
      <c r="F11" s="118"/>
      <c r="G11" s="118"/>
      <c r="H11" s="118"/>
    </row>
    <row r="12" spans="1:23" ht="15.75" x14ac:dyDescent="0.25">
      <c r="A12" s="125"/>
      <c r="B12" s="126"/>
      <c r="C12" s="127" t="s">
        <v>54</v>
      </c>
      <c r="D12" s="128"/>
      <c r="E12" s="129"/>
      <c r="F12" s="129"/>
      <c r="G12" s="129"/>
      <c r="H12" s="129"/>
      <c r="I12" s="129"/>
      <c r="J12" s="130"/>
      <c r="K12" s="130"/>
    </row>
    <row r="13" spans="1:23" s="138" customFormat="1" ht="22.5" x14ac:dyDescent="0.2">
      <c r="A13" s="131"/>
      <c r="B13" s="132"/>
      <c r="C13" s="133"/>
      <c r="D13" s="134"/>
      <c r="E13" s="135" t="s">
        <v>55</v>
      </c>
      <c r="F13" s="136" t="s">
        <v>56</v>
      </c>
      <c r="G13" s="136" t="s">
        <v>57</v>
      </c>
      <c r="H13" s="136" t="s">
        <v>56</v>
      </c>
      <c r="I13" s="136" t="s">
        <v>56</v>
      </c>
      <c r="J13" s="136" t="s">
        <v>56</v>
      </c>
      <c r="K13" s="136" t="s">
        <v>56</v>
      </c>
      <c r="L13" s="137"/>
      <c r="M13" s="137"/>
      <c r="N13" s="137"/>
      <c r="O13" s="137"/>
      <c r="P13" s="137"/>
      <c r="Q13" s="137"/>
      <c r="R13" s="137"/>
      <c r="S13" s="137"/>
      <c r="T13" s="137"/>
      <c r="U13" s="137"/>
      <c r="V13" s="137"/>
      <c r="W13" s="137"/>
    </row>
    <row r="14" spans="1:23" s="138" customFormat="1" x14ac:dyDescent="0.2">
      <c r="A14" s="131"/>
      <c r="B14" s="132"/>
      <c r="C14" s="139" t="s">
        <v>58</v>
      </c>
      <c r="D14" s="134"/>
      <c r="E14" s="135"/>
      <c r="F14" s="140"/>
      <c r="G14" s="136"/>
      <c r="H14" s="136"/>
      <c r="I14" s="136"/>
      <c r="J14" s="136"/>
      <c r="K14" s="136"/>
      <c r="L14" s="137"/>
      <c r="M14" s="137"/>
      <c r="N14" s="178"/>
      <c r="O14" s="137"/>
      <c r="P14" s="137"/>
      <c r="Q14" s="137"/>
      <c r="R14" s="137"/>
      <c r="S14" s="137"/>
      <c r="T14" s="137"/>
      <c r="U14" s="137"/>
      <c r="V14" s="137"/>
      <c r="W14" s="137"/>
    </row>
    <row r="15" spans="1:23" s="138" customFormat="1" x14ac:dyDescent="0.2">
      <c r="A15" s="131"/>
      <c r="B15" s="132" t="s">
        <v>70</v>
      </c>
      <c r="C15" s="141" t="s">
        <v>71</v>
      </c>
      <c r="D15" s="134" t="s">
        <v>72</v>
      </c>
      <c r="E15" s="142">
        <f>580000+135000+49500+35000</f>
        <v>799500</v>
      </c>
      <c r="F15" s="134">
        <v>0</v>
      </c>
      <c r="G15" s="142">
        <f t="shared" ref="G15:G37" si="0">E15+F15</f>
        <v>799500</v>
      </c>
      <c r="H15" s="134">
        <f>'RECAP #9436.00'!D22</f>
        <v>742366.29</v>
      </c>
      <c r="I15" s="134">
        <f>'RECAP #9436.00'!E22</f>
        <v>416893.7</v>
      </c>
      <c r="J15" s="134">
        <f>'RECAP #9436.00'!F22</f>
        <v>325472.59000000003</v>
      </c>
      <c r="K15" s="134">
        <f>'RECAP #9436.00'!G22</f>
        <v>57133.709999999963</v>
      </c>
      <c r="L15" s="137"/>
      <c r="M15" s="137"/>
      <c r="N15" s="178">
        <f>'#9436.00 PM TIME'!I40</f>
        <v>2711.6099999999988</v>
      </c>
      <c r="O15" s="137"/>
      <c r="P15" s="137"/>
      <c r="Q15" s="137"/>
      <c r="R15" s="137"/>
      <c r="S15" s="137"/>
      <c r="T15" s="137"/>
      <c r="U15" s="137"/>
      <c r="V15" s="137"/>
      <c r="W15" s="137"/>
    </row>
    <row r="16" spans="1:23" s="138" customFormat="1" x14ac:dyDescent="0.2">
      <c r="A16" s="131"/>
      <c r="B16" s="132" t="s">
        <v>78</v>
      </c>
      <c r="C16" s="141" t="s">
        <v>79</v>
      </c>
      <c r="D16" s="134" t="s">
        <v>80</v>
      </c>
      <c r="E16" s="142">
        <f>4600000-35000</f>
        <v>4565000</v>
      </c>
      <c r="F16" s="134"/>
      <c r="G16" s="142">
        <f t="shared" si="0"/>
        <v>4565000</v>
      </c>
      <c r="H16" s="134">
        <f>'RECAP #9440.00'!D20</f>
        <v>4345281.3900000006</v>
      </c>
      <c r="I16" s="134">
        <f>'RECAP #9440.00'!E20</f>
        <v>760674.70000000007</v>
      </c>
      <c r="J16" s="134">
        <f>'RECAP #9440.00'!F20</f>
        <v>3584606.6900000004</v>
      </c>
      <c r="K16" s="134">
        <f>'RECAP #9440.00'!G20</f>
        <v>219718.6099999994</v>
      </c>
      <c r="L16" s="137"/>
      <c r="M16" s="137"/>
      <c r="N16" s="178">
        <f>'#9440.00 PM TIME'!I40</f>
        <v>57848.130000000005</v>
      </c>
      <c r="O16" s="137"/>
      <c r="P16" s="137"/>
      <c r="Q16" s="137"/>
      <c r="R16" s="137"/>
      <c r="S16" s="137"/>
      <c r="T16" s="137"/>
      <c r="U16" s="137"/>
      <c r="V16" s="137"/>
      <c r="W16" s="137"/>
    </row>
    <row r="17" spans="1:23" s="138" customFormat="1" x14ac:dyDescent="0.2">
      <c r="A17" s="131"/>
      <c r="B17" s="132"/>
      <c r="C17" s="141"/>
      <c r="D17" s="134"/>
      <c r="E17" s="142"/>
      <c r="F17" s="134"/>
      <c r="G17" s="142">
        <f t="shared" si="0"/>
        <v>0</v>
      </c>
      <c r="H17" s="134"/>
      <c r="I17" s="134"/>
      <c r="J17" s="134"/>
      <c r="K17" s="134"/>
      <c r="L17" s="137"/>
      <c r="M17" s="137"/>
      <c r="N17" s="178"/>
      <c r="O17" s="137"/>
      <c r="P17" s="137"/>
      <c r="Q17" s="137"/>
      <c r="R17" s="137"/>
      <c r="S17" s="137"/>
      <c r="T17" s="137"/>
      <c r="U17" s="137"/>
      <c r="V17" s="137"/>
      <c r="W17" s="137"/>
    </row>
    <row r="18" spans="1:23" s="138" customFormat="1" x14ac:dyDescent="0.2">
      <c r="A18" s="131"/>
      <c r="B18" s="132"/>
      <c r="C18" s="143"/>
      <c r="D18" s="134"/>
      <c r="E18" s="142"/>
      <c r="F18" s="134"/>
      <c r="G18" s="142">
        <f t="shared" si="0"/>
        <v>0</v>
      </c>
      <c r="H18" s="134"/>
      <c r="I18" s="134"/>
      <c r="J18" s="134"/>
      <c r="K18" s="134"/>
      <c r="L18" s="137"/>
      <c r="M18" s="137"/>
      <c r="N18" s="137"/>
      <c r="O18" s="137"/>
      <c r="P18" s="137"/>
      <c r="Q18" s="137"/>
      <c r="R18" s="137"/>
      <c r="S18" s="137"/>
      <c r="T18" s="137"/>
      <c r="U18" s="137"/>
      <c r="V18" s="137"/>
      <c r="W18" s="137"/>
    </row>
    <row r="19" spans="1:23" s="138" customFormat="1" x14ac:dyDescent="0.2">
      <c r="A19" s="131"/>
      <c r="B19" s="132"/>
      <c r="C19" s="141"/>
      <c r="D19" s="134"/>
      <c r="E19" s="142"/>
      <c r="F19" s="134"/>
      <c r="G19" s="142">
        <f t="shared" si="0"/>
        <v>0</v>
      </c>
      <c r="H19" s="134"/>
      <c r="I19" s="134"/>
      <c r="J19" s="134"/>
      <c r="K19" s="134"/>
      <c r="L19" s="137"/>
      <c r="M19" s="137"/>
      <c r="N19" s="137"/>
      <c r="O19" s="137"/>
      <c r="P19" s="137"/>
      <c r="Q19" s="137"/>
      <c r="R19" s="137"/>
      <c r="S19" s="137"/>
      <c r="T19" s="137"/>
      <c r="U19" s="137"/>
      <c r="V19" s="137"/>
      <c r="W19" s="137"/>
    </row>
    <row r="20" spans="1:23" s="138" customFormat="1" x14ac:dyDescent="0.2">
      <c r="A20" s="131"/>
      <c r="B20" s="132"/>
      <c r="C20" s="141"/>
      <c r="D20" s="134"/>
      <c r="E20" s="142"/>
      <c r="F20" s="134"/>
      <c r="G20" s="142">
        <f t="shared" si="0"/>
        <v>0</v>
      </c>
      <c r="H20" s="134"/>
      <c r="I20" s="134"/>
      <c r="J20" s="134"/>
      <c r="K20" s="134"/>
      <c r="L20" s="137"/>
      <c r="M20" s="137"/>
      <c r="N20" s="137"/>
      <c r="O20" s="137"/>
      <c r="P20" s="137"/>
      <c r="Q20" s="137"/>
      <c r="R20" s="137"/>
      <c r="S20" s="137"/>
      <c r="T20" s="137"/>
      <c r="U20" s="137"/>
      <c r="V20" s="137"/>
      <c r="W20" s="137"/>
    </row>
    <row r="21" spans="1:23" s="138" customFormat="1" x14ac:dyDescent="0.2">
      <c r="A21" s="131"/>
      <c r="B21" s="132"/>
      <c r="C21" s="144"/>
      <c r="D21" s="134"/>
      <c r="E21" s="142"/>
      <c r="F21" s="134"/>
      <c r="G21" s="142">
        <f t="shared" si="0"/>
        <v>0</v>
      </c>
      <c r="H21" s="134"/>
      <c r="I21" s="134"/>
      <c r="J21" s="134"/>
      <c r="K21" s="134"/>
      <c r="L21" s="137"/>
      <c r="M21" s="137"/>
      <c r="N21" s="137"/>
      <c r="O21" s="137"/>
      <c r="P21" s="137"/>
      <c r="Q21" s="137"/>
      <c r="R21" s="137"/>
      <c r="S21" s="137"/>
      <c r="T21" s="137"/>
      <c r="U21" s="137"/>
      <c r="V21" s="137"/>
      <c r="W21" s="137"/>
    </row>
    <row r="22" spans="1:23" s="138" customFormat="1" x14ac:dyDescent="0.2">
      <c r="A22" s="131"/>
      <c r="B22" s="132"/>
      <c r="C22" s="145"/>
      <c r="D22" s="134"/>
      <c r="E22" s="142"/>
      <c r="F22" s="134"/>
      <c r="G22" s="142">
        <f t="shared" si="0"/>
        <v>0</v>
      </c>
      <c r="H22" s="134"/>
      <c r="I22" s="134"/>
      <c r="J22" s="134"/>
      <c r="K22" s="134"/>
      <c r="L22" s="137"/>
      <c r="M22" s="137"/>
      <c r="N22" s="137"/>
      <c r="O22" s="137"/>
      <c r="P22" s="137"/>
      <c r="Q22" s="137"/>
      <c r="R22" s="137"/>
      <c r="S22" s="137"/>
      <c r="T22" s="137"/>
      <c r="U22" s="137"/>
      <c r="V22" s="137"/>
      <c r="W22" s="137"/>
    </row>
    <row r="23" spans="1:23" s="138" customFormat="1" x14ac:dyDescent="0.2">
      <c r="A23" s="131"/>
      <c r="B23" s="132"/>
      <c r="C23" s="146"/>
      <c r="D23" s="131"/>
      <c r="E23" s="142"/>
      <c r="F23" s="134"/>
      <c r="G23" s="142">
        <f t="shared" si="0"/>
        <v>0</v>
      </c>
      <c r="H23" s="134"/>
      <c r="I23" s="134"/>
      <c r="J23" s="134"/>
      <c r="K23" s="134"/>
      <c r="L23" s="137"/>
      <c r="M23" s="137"/>
      <c r="N23" s="137"/>
      <c r="O23" s="137"/>
      <c r="P23" s="137"/>
      <c r="Q23" s="137"/>
      <c r="R23" s="137"/>
      <c r="S23" s="137"/>
      <c r="T23" s="137"/>
      <c r="U23" s="137"/>
      <c r="V23" s="137"/>
      <c r="W23" s="137"/>
    </row>
    <row r="24" spans="1:23" s="138" customFormat="1" x14ac:dyDescent="0.2">
      <c r="A24" s="131"/>
      <c r="B24" s="132"/>
      <c r="C24" s="141"/>
      <c r="D24" s="134"/>
      <c r="E24" s="142"/>
      <c r="F24" s="134"/>
      <c r="G24" s="142">
        <f t="shared" si="0"/>
        <v>0</v>
      </c>
      <c r="H24" s="134"/>
      <c r="I24" s="134"/>
      <c r="J24" s="134"/>
      <c r="K24" s="134"/>
      <c r="L24" s="137"/>
      <c r="M24" s="137"/>
      <c r="N24" s="137"/>
      <c r="O24" s="137"/>
      <c r="P24" s="137"/>
      <c r="Q24" s="137"/>
      <c r="R24" s="137"/>
      <c r="S24" s="137"/>
      <c r="T24" s="137"/>
      <c r="U24" s="137"/>
      <c r="V24" s="137"/>
      <c r="W24" s="137"/>
    </row>
    <row r="25" spans="1:23" s="138" customFormat="1" x14ac:dyDescent="0.2">
      <c r="A25" s="147"/>
      <c r="B25" s="132"/>
      <c r="C25" s="141"/>
      <c r="D25" s="134"/>
      <c r="E25" s="142"/>
      <c r="F25" s="134"/>
      <c r="G25" s="142">
        <f t="shared" si="0"/>
        <v>0</v>
      </c>
      <c r="H25" s="134"/>
      <c r="I25" s="134"/>
      <c r="J25" s="134"/>
      <c r="K25" s="134"/>
      <c r="L25" s="137"/>
      <c r="M25" s="137"/>
      <c r="N25" s="137"/>
      <c r="O25" s="137"/>
      <c r="P25" s="137"/>
      <c r="Q25" s="137"/>
      <c r="R25" s="137"/>
      <c r="S25" s="137"/>
      <c r="T25" s="137"/>
      <c r="U25" s="137"/>
      <c r="V25" s="137"/>
      <c r="W25" s="137"/>
    </row>
    <row r="26" spans="1:23" s="138" customFormat="1" x14ac:dyDescent="0.2">
      <c r="A26" s="131"/>
      <c r="B26" s="132"/>
      <c r="C26" s="141"/>
      <c r="D26" s="134"/>
      <c r="E26" s="142"/>
      <c r="F26" s="134"/>
      <c r="G26" s="142">
        <f t="shared" si="0"/>
        <v>0</v>
      </c>
      <c r="H26" s="134"/>
      <c r="I26" s="134"/>
      <c r="J26" s="134"/>
      <c r="K26" s="134"/>
      <c r="L26" s="137"/>
      <c r="M26" s="137"/>
      <c r="N26" s="137"/>
      <c r="O26" s="137"/>
      <c r="P26" s="137"/>
      <c r="Q26" s="137"/>
      <c r="R26" s="137"/>
      <c r="S26" s="137"/>
      <c r="T26" s="137"/>
      <c r="U26" s="137"/>
      <c r="V26" s="137"/>
      <c r="W26" s="137"/>
    </row>
    <row r="27" spans="1:23" x14ac:dyDescent="0.2">
      <c r="A27" s="148"/>
      <c r="B27" s="132"/>
      <c r="C27" s="145"/>
      <c r="D27" s="131"/>
      <c r="E27" s="142"/>
      <c r="F27" s="134"/>
      <c r="G27" s="142">
        <f t="shared" si="0"/>
        <v>0</v>
      </c>
      <c r="H27" s="134"/>
      <c r="I27" s="134"/>
      <c r="J27" s="134"/>
      <c r="K27" s="134"/>
    </row>
    <row r="28" spans="1:23" x14ac:dyDescent="0.2">
      <c r="A28" s="148"/>
      <c r="B28" s="132"/>
      <c r="C28" s="149"/>
      <c r="D28" s="131"/>
      <c r="E28" s="142"/>
      <c r="F28" s="134"/>
      <c r="G28" s="142">
        <f t="shared" si="0"/>
        <v>0</v>
      </c>
      <c r="H28" s="134"/>
      <c r="I28" s="134"/>
      <c r="J28" s="134"/>
      <c r="K28" s="134"/>
    </row>
    <row r="29" spans="1:23" x14ac:dyDescent="0.2">
      <c r="A29" s="148"/>
      <c r="B29" s="132"/>
      <c r="C29" s="144"/>
      <c r="D29" s="131"/>
      <c r="E29" s="142"/>
      <c r="F29" s="134"/>
      <c r="G29" s="142">
        <f t="shared" si="0"/>
        <v>0</v>
      </c>
      <c r="H29" s="134"/>
      <c r="I29" s="134"/>
      <c r="J29" s="134"/>
      <c r="K29" s="134"/>
    </row>
    <row r="30" spans="1:23" x14ac:dyDescent="0.2">
      <c r="A30" s="148"/>
      <c r="B30" s="132"/>
      <c r="C30" s="150"/>
      <c r="D30" s="131"/>
      <c r="E30" s="142"/>
      <c r="F30" s="134"/>
      <c r="G30" s="142">
        <f t="shared" si="0"/>
        <v>0</v>
      </c>
      <c r="H30" s="134"/>
      <c r="I30" s="134"/>
      <c r="J30" s="134"/>
      <c r="K30" s="134"/>
    </row>
    <row r="31" spans="1:23" x14ac:dyDescent="0.2">
      <c r="A31" s="148"/>
      <c r="B31" s="132"/>
      <c r="C31" s="150"/>
      <c r="D31" s="131"/>
      <c r="E31" s="142"/>
      <c r="F31" s="134"/>
      <c r="G31" s="142">
        <f t="shared" si="0"/>
        <v>0</v>
      </c>
      <c r="H31" s="134"/>
      <c r="I31" s="134"/>
      <c r="J31" s="134"/>
      <c r="K31" s="134"/>
    </row>
    <row r="32" spans="1:23" x14ac:dyDescent="0.2">
      <c r="A32" s="148"/>
      <c r="B32" s="132"/>
      <c r="C32" s="151"/>
      <c r="D32" s="131"/>
      <c r="E32" s="142"/>
      <c r="F32" s="134"/>
      <c r="G32" s="142">
        <f t="shared" si="0"/>
        <v>0</v>
      </c>
      <c r="H32" s="134"/>
      <c r="I32" s="134"/>
      <c r="J32" s="134"/>
      <c r="K32" s="134"/>
    </row>
    <row r="33" spans="1:25" x14ac:dyDescent="0.2">
      <c r="A33" s="148"/>
      <c r="B33" s="132"/>
      <c r="C33" s="150"/>
      <c r="D33" s="131"/>
      <c r="E33" s="142"/>
      <c r="F33" s="134"/>
      <c r="G33" s="142">
        <f t="shared" si="0"/>
        <v>0</v>
      </c>
      <c r="H33" s="134"/>
      <c r="I33" s="134"/>
      <c r="J33" s="134"/>
      <c r="K33" s="134"/>
    </row>
    <row r="34" spans="1:25" x14ac:dyDescent="0.2">
      <c r="A34" s="152"/>
      <c r="B34" s="132"/>
      <c r="C34" s="150"/>
      <c r="D34" s="131"/>
      <c r="E34" s="142"/>
      <c r="F34" s="134"/>
      <c r="G34" s="142">
        <f t="shared" si="0"/>
        <v>0</v>
      </c>
      <c r="H34" s="134"/>
      <c r="I34" s="134"/>
      <c r="J34" s="153"/>
      <c r="K34" s="134"/>
    </row>
    <row r="35" spans="1:25" x14ac:dyDescent="0.2">
      <c r="A35" s="148"/>
      <c r="B35" s="132"/>
      <c r="C35" s="150"/>
      <c r="D35" s="131"/>
      <c r="E35" s="142"/>
      <c r="F35" s="134"/>
      <c r="G35" s="142">
        <f t="shared" si="0"/>
        <v>0</v>
      </c>
      <c r="H35" s="134"/>
      <c r="I35" s="134"/>
      <c r="J35" s="134"/>
      <c r="K35" s="134"/>
    </row>
    <row r="36" spans="1:25" x14ac:dyDescent="0.2">
      <c r="A36" s="148"/>
      <c r="B36" s="132"/>
      <c r="C36" s="150"/>
      <c r="D36" s="131"/>
      <c r="E36" s="142"/>
      <c r="F36" s="134"/>
      <c r="G36" s="142">
        <f t="shared" si="0"/>
        <v>0</v>
      </c>
      <c r="H36" s="134"/>
      <c r="I36" s="134"/>
      <c r="J36" s="134"/>
      <c r="K36" s="134"/>
    </row>
    <row r="37" spans="1:25" x14ac:dyDescent="0.2">
      <c r="A37" s="148"/>
      <c r="B37" s="132"/>
      <c r="C37" s="150"/>
      <c r="D37" s="131"/>
      <c r="E37" s="142"/>
      <c r="F37" s="134"/>
      <c r="G37" s="142">
        <f t="shared" si="0"/>
        <v>0</v>
      </c>
      <c r="H37" s="134"/>
      <c r="I37" s="134"/>
      <c r="J37" s="134"/>
      <c r="K37" s="134"/>
    </row>
    <row r="38" spans="1:25" x14ac:dyDescent="0.2">
      <c r="A38" s="148"/>
      <c r="B38" s="132"/>
      <c r="C38" s="150"/>
      <c r="D38" s="131"/>
      <c r="E38" s="142"/>
      <c r="F38" s="142"/>
      <c r="G38" s="142"/>
      <c r="H38" s="134"/>
      <c r="I38" s="134"/>
      <c r="J38" s="134"/>
      <c r="K38" s="134"/>
    </row>
    <row r="39" spans="1:25" x14ac:dyDescent="0.2">
      <c r="A39" s="148"/>
      <c r="B39" s="154"/>
      <c r="C39" s="155"/>
      <c r="D39" s="156"/>
      <c r="E39" s="142"/>
      <c r="F39" s="142"/>
      <c r="G39" s="142"/>
      <c r="H39" s="142"/>
      <c r="I39" s="142"/>
      <c r="J39" s="142"/>
      <c r="K39" s="142"/>
    </row>
    <row r="40" spans="1:25" s="104" customFormat="1" ht="13.5" thickBot="1" x14ac:dyDescent="0.25">
      <c r="A40" s="157"/>
      <c r="B40" s="158"/>
      <c r="C40" s="159" t="s">
        <v>59</v>
      </c>
      <c r="D40" s="160"/>
      <c r="E40" s="161">
        <f>SUM(E13:E39)</f>
        <v>5364500</v>
      </c>
      <c r="F40" s="161">
        <f t="shared" ref="F40:J40" si="1">SUM(F13:F39)</f>
        <v>0</v>
      </c>
      <c r="G40" s="161">
        <f t="shared" si="1"/>
        <v>5364500</v>
      </c>
      <c r="H40" s="161">
        <f t="shared" si="1"/>
        <v>5087647.6800000006</v>
      </c>
      <c r="I40" s="161">
        <f t="shared" si="1"/>
        <v>1177568.4000000001</v>
      </c>
      <c r="J40" s="161">
        <f t="shared" si="1"/>
        <v>3910079.2800000003</v>
      </c>
      <c r="K40" s="161">
        <f>SUM(K13:K39)</f>
        <v>276852.31999999937</v>
      </c>
      <c r="L40" s="105"/>
      <c r="M40" s="105"/>
      <c r="N40" s="208">
        <f>SUM(N15:N16)</f>
        <v>60559.740000000005</v>
      </c>
      <c r="O40" s="105"/>
      <c r="P40" s="105"/>
      <c r="Q40" s="105"/>
      <c r="R40" s="105"/>
      <c r="S40" s="105"/>
      <c r="T40" s="105"/>
      <c r="U40" s="105"/>
      <c r="V40" s="105"/>
      <c r="W40" s="105"/>
      <c r="X40" s="105"/>
      <c r="Y40" s="105"/>
    </row>
    <row r="41" spans="1:25" ht="13.5" thickBot="1" x14ac:dyDescent="0.25">
      <c r="A41" s="162"/>
      <c r="B41" s="163"/>
      <c r="C41" s="164"/>
      <c r="D41" s="165"/>
      <c r="E41" s="166"/>
      <c r="F41" s="166"/>
      <c r="G41" s="166"/>
      <c r="H41" s="166"/>
      <c r="I41" s="166"/>
      <c r="J41" s="167"/>
      <c r="K41" s="168"/>
    </row>
    <row r="42" spans="1:25" x14ac:dyDescent="0.2">
      <c r="A42" s="115"/>
      <c r="B42" s="169"/>
      <c r="C42" s="170"/>
      <c r="D42" s="119"/>
      <c r="E42" s="171"/>
      <c r="F42" s="171"/>
      <c r="G42" s="172" t="s">
        <v>60</v>
      </c>
      <c r="H42" s="171"/>
      <c r="I42" s="173"/>
      <c r="J42" s="174"/>
      <c r="K42" s="175">
        <f>E8</f>
        <v>0</v>
      </c>
    </row>
    <row r="43" spans="1:25" ht="26.25" thickBot="1" x14ac:dyDescent="0.25">
      <c r="A43" s="115"/>
      <c r="B43" s="176"/>
      <c r="C43" s="177" t="s">
        <v>61</v>
      </c>
      <c r="D43" s="178"/>
      <c r="E43" s="179"/>
      <c r="F43" s="179"/>
      <c r="G43" s="180" t="s">
        <v>62</v>
      </c>
      <c r="H43" s="179"/>
      <c r="I43" s="173"/>
      <c r="J43" s="174"/>
      <c r="K43" s="181">
        <f>SUM(K40:K42)</f>
        <v>276852.31999999937</v>
      </c>
    </row>
    <row r="44" spans="1:25" ht="13.5" thickTop="1" x14ac:dyDescent="0.2">
      <c r="A44" s="115"/>
      <c r="B44" s="169"/>
      <c r="C44" s="182" t="s">
        <v>5</v>
      </c>
      <c r="D44" s="119"/>
      <c r="E44" s="124"/>
      <c r="F44" s="124"/>
      <c r="G44" s="183" t="s">
        <v>63</v>
      </c>
      <c r="H44" s="124"/>
      <c r="J44" s="175">
        <f>E6</f>
        <v>5364500</v>
      </c>
    </row>
    <row r="45" spans="1:25" x14ac:dyDescent="0.2">
      <c r="A45" s="115"/>
      <c r="B45" s="169"/>
      <c r="C45" s="170"/>
      <c r="D45" s="119"/>
      <c r="E45" s="124"/>
      <c r="F45" s="124"/>
      <c r="G45" s="184" t="s">
        <v>64</v>
      </c>
      <c r="H45" s="124"/>
      <c r="J45" s="185">
        <f>H40*-1</f>
        <v>-5087647.6800000006</v>
      </c>
      <c r="K45" s="175">
        <f>SUM(J44:J45)</f>
        <v>276852.31999999937</v>
      </c>
    </row>
    <row r="46" spans="1:25" ht="13.5" thickBot="1" x14ac:dyDescent="0.25">
      <c r="A46" s="115"/>
      <c r="B46" s="99"/>
      <c r="C46" s="170"/>
      <c r="D46" s="119"/>
      <c r="E46" s="124"/>
      <c r="F46" s="124"/>
      <c r="G46" s="183" t="s">
        <v>65</v>
      </c>
      <c r="H46" s="124"/>
      <c r="K46" s="186">
        <f>K43-K45</f>
        <v>0</v>
      </c>
    </row>
    <row r="47" spans="1:25" ht="13.5" thickTop="1" x14ac:dyDescent="0.2">
      <c r="A47" s="115"/>
      <c r="B47" s="169"/>
      <c r="C47" s="170"/>
      <c r="D47" s="119"/>
      <c r="E47" s="124"/>
      <c r="F47" s="124"/>
      <c r="G47" s="124"/>
      <c r="H47" s="124"/>
      <c r="I47" s="124"/>
    </row>
    <row r="48" spans="1:25" x14ac:dyDescent="0.2">
      <c r="A48" s="115"/>
      <c r="B48" s="169"/>
      <c r="C48" s="170"/>
      <c r="D48" s="119"/>
      <c r="E48" s="124"/>
      <c r="F48" s="124"/>
      <c r="G48" s="124"/>
      <c r="H48" s="124"/>
      <c r="I48" s="124"/>
    </row>
    <row r="49" spans="2:23" x14ac:dyDescent="0.2">
      <c r="B49" s="169"/>
      <c r="C49" s="170"/>
      <c r="D49" s="119"/>
      <c r="E49" s="124"/>
      <c r="F49" s="124"/>
      <c r="G49" s="124"/>
      <c r="H49" s="124"/>
    </row>
    <row r="50" spans="2:23" s="138" customFormat="1" x14ac:dyDescent="0.2">
      <c r="B50" s="187"/>
      <c r="C50" s="188"/>
      <c r="D50" s="189"/>
      <c r="E50" s="190"/>
      <c r="F50" s="190"/>
      <c r="G50" s="190"/>
      <c r="H50" s="190"/>
      <c r="I50" s="190"/>
      <c r="J50" s="137"/>
      <c r="K50" s="137"/>
      <c r="L50" s="137"/>
      <c r="M50" s="137"/>
      <c r="N50" s="137"/>
      <c r="O50" s="137"/>
      <c r="P50" s="137"/>
      <c r="Q50" s="137"/>
      <c r="R50" s="137"/>
      <c r="S50" s="137"/>
      <c r="T50" s="137"/>
      <c r="U50" s="137"/>
      <c r="V50" s="137"/>
      <c r="W50" s="137"/>
    </row>
    <row r="51" spans="2:23" x14ac:dyDescent="0.2">
      <c r="B51" s="191"/>
      <c r="C51" s="192"/>
      <c r="D51" s="193"/>
      <c r="E51" s="105"/>
      <c r="F51" s="194"/>
      <c r="G51" s="194"/>
      <c r="H51" s="194"/>
      <c r="I51" s="194"/>
      <c r="J51" s="194"/>
      <c r="K51" s="194"/>
    </row>
    <row r="52" spans="2:23" x14ac:dyDescent="0.2">
      <c r="B52" s="99"/>
      <c r="D52" s="99"/>
      <c r="E52" s="99"/>
      <c r="F52" s="195"/>
      <c r="G52" s="195"/>
      <c r="H52" s="196"/>
      <c r="I52" s="196"/>
      <c r="J52" s="196"/>
      <c r="K52" s="196"/>
    </row>
    <row r="53" spans="2:23" x14ac:dyDescent="0.2">
      <c r="B53" s="191"/>
      <c r="C53" s="197"/>
      <c r="D53" s="193"/>
      <c r="E53" s="105"/>
      <c r="F53" s="194"/>
      <c r="G53" s="194"/>
      <c r="H53" s="194"/>
      <c r="I53" s="194"/>
      <c r="J53" s="194"/>
      <c r="K53" s="194"/>
    </row>
    <row r="54" spans="2:23" s="105" customFormat="1" x14ac:dyDescent="0.2">
      <c r="B54" s="191"/>
      <c r="C54" s="99"/>
      <c r="D54" s="193"/>
      <c r="F54" s="194"/>
      <c r="G54" s="194"/>
      <c r="H54" s="194"/>
      <c r="I54" s="194"/>
      <c r="J54" s="194"/>
      <c r="K54" s="194"/>
    </row>
    <row r="55" spans="2:23" s="105" customFormat="1" x14ac:dyDescent="0.2">
      <c r="B55" s="191"/>
      <c r="D55" s="193"/>
      <c r="F55" s="194"/>
      <c r="G55" s="194"/>
      <c r="H55" s="194"/>
      <c r="I55" s="194"/>
      <c r="J55" s="194"/>
      <c r="K55" s="194"/>
    </row>
    <row r="56" spans="2:23" s="105" customFormat="1" x14ac:dyDescent="0.2">
      <c r="B56" s="191"/>
      <c r="D56" s="193"/>
      <c r="F56" s="194"/>
      <c r="G56" s="194"/>
      <c r="H56" s="194"/>
      <c r="I56" s="194"/>
      <c r="J56" s="194"/>
      <c r="K56" s="194"/>
    </row>
    <row r="57" spans="2:23" s="105" customFormat="1" x14ac:dyDescent="0.2">
      <c r="B57" s="191"/>
      <c r="D57" s="193"/>
    </row>
    <row r="58" spans="2:23" s="105" customFormat="1" x14ac:dyDescent="0.2">
      <c r="B58" s="191"/>
      <c r="D58" s="193"/>
    </row>
    <row r="59" spans="2:23" s="105" customFormat="1" x14ac:dyDescent="0.2">
      <c r="B59" s="191"/>
      <c r="D59" s="193"/>
    </row>
    <row r="60" spans="2:23" s="105" customFormat="1" x14ac:dyDescent="0.2">
      <c r="B60" s="191"/>
      <c r="D60" s="193"/>
    </row>
    <row r="61" spans="2:23" s="105" customFormat="1" x14ac:dyDescent="0.2">
      <c r="B61" s="191"/>
      <c r="D61" s="193"/>
    </row>
  </sheetData>
  <pageMargins left="0.25" right="0.25" top="1.25" bottom="0.75" header="0.3" footer="0.3"/>
  <pageSetup scale="65" orientation="landscape" r:id="rId1"/>
  <headerFooter alignWithMargins="0">
    <oddHeader xml:space="preserve">&amp;CDepartment of Administrative Services
Major Maintenance 
2000
&amp;A
&amp;D
</oddHeader>
    <oddFooter>&amp;LAcct Codes 0017-335-2000
Reversion 6/30/2028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2C2D-A367-4F32-996F-9ECBE1E47A20}">
  <sheetPr>
    <pageSetUpPr fitToPage="1"/>
  </sheetPr>
  <dimension ref="A1:J575"/>
  <sheetViews>
    <sheetView zoomScaleNormal="100" workbookViewId="0">
      <selection activeCell="K31" sqref="K31"/>
    </sheetView>
  </sheetViews>
  <sheetFormatPr defaultColWidth="11.42578125" defaultRowHeight="12.75" x14ac:dyDescent="0.2"/>
  <cols>
    <col min="1" max="1" width="24.5703125" style="76" customWidth="1"/>
    <col min="2" max="2" width="9.42578125" style="77" customWidth="1"/>
    <col min="3" max="3" width="29.28515625"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7.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85</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#9440.00'!B6</f>
        <v>Project Manager - Brad T.</v>
      </c>
      <c r="B6" s="11"/>
      <c r="C6" s="48"/>
      <c r="D6" s="49" t="s">
        <v>114</v>
      </c>
      <c r="E6" s="50"/>
      <c r="F6" s="51"/>
      <c r="G6" s="47"/>
      <c r="H6" s="42"/>
    </row>
    <row r="7" spans="1:9" s="35" customFormat="1" ht="15.75" x14ac:dyDescent="0.25">
      <c r="B7" s="52"/>
      <c r="C7" s="52"/>
      <c r="D7" s="35" t="s">
        <v>235</v>
      </c>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227</v>
      </c>
      <c r="B9" s="60">
        <v>45791</v>
      </c>
      <c r="C9" s="61" t="s">
        <v>88</v>
      </c>
      <c r="D9" s="204">
        <v>424038.2</v>
      </c>
      <c r="E9" s="63">
        <f>D9</f>
        <v>424038.2</v>
      </c>
      <c r="F9" s="64"/>
      <c r="G9" s="64"/>
      <c r="H9" s="64">
        <f>E9</f>
        <v>424038.2</v>
      </c>
    </row>
    <row r="10" spans="1:9" x14ac:dyDescent="0.2">
      <c r="A10" s="59" t="s">
        <v>259</v>
      </c>
      <c r="B10" s="66">
        <v>45828</v>
      </c>
      <c r="C10" s="61" t="s">
        <v>261</v>
      </c>
      <c r="D10" s="204"/>
      <c r="E10" s="63">
        <f t="shared" ref="E10:E21" si="0">E9+D10</f>
        <v>424038.2</v>
      </c>
      <c r="F10" s="207">
        <v>10883.84</v>
      </c>
      <c r="G10" s="64">
        <f t="shared" ref="G10:G21" si="1">G9+F10</f>
        <v>10883.84</v>
      </c>
      <c r="H10" s="64">
        <f t="shared" ref="H10:H21" si="2">H9-F10+D10</f>
        <v>413154.36</v>
      </c>
    </row>
    <row r="11" spans="1:9" x14ac:dyDescent="0.2">
      <c r="A11" s="276" t="s">
        <v>274</v>
      </c>
      <c r="B11" s="277">
        <v>45853</v>
      </c>
      <c r="C11" s="278" t="s">
        <v>275</v>
      </c>
      <c r="D11" s="279"/>
      <c r="E11" s="279">
        <f t="shared" si="0"/>
        <v>424038.2</v>
      </c>
      <c r="F11" s="280">
        <v>9403.56</v>
      </c>
      <c r="G11" s="281">
        <f t="shared" si="1"/>
        <v>20287.400000000001</v>
      </c>
      <c r="H11" s="281">
        <f t="shared" si="2"/>
        <v>403750.8</v>
      </c>
      <c r="I11" s="282" t="s">
        <v>289</v>
      </c>
    </row>
    <row r="12" spans="1:9" x14ac:dyDescent="0.2">
      <c r="A12" s="59" t="s">
        <v>299</v>
      </c>
      <c r="B12" s="60">
        <v>45891</v>
      </c>
      <c r="C12" s="61" t="s">
        <v>291</v>
      </c>
      <c r="D12" s="204">
        <v>0</v>
      </c>
      <c r="E12" s="63">
        <f t="shared" si="0"/>
        <v>424038.2</v>
      </c>
      <c r="F12" s="207"/>
      <c r="G12" s="64">
        <f t="shared" si="1"/>
        <v>20287.400000000001</v>
      </c>
      <c r="H12" s="64">
        <f t="shared" si="2"/>
        <v>403750.8</v>
      </c>
    </row>
    <row r="13" spans="1:9" x14ac:dyDescent="0.2">
      <c r="A13" s="59" t="s">
        <v>306</v>
      </c>
      <c r="B13" s="60">
        <v>45908</v>
      </c>
      <c r="C13" s="61" t="s">
        <v>307</v>
      </c>
      <c r="D13" s="63"/>
      <c r="E13" s="63">
        <f t="shared" si="0"/>
        <v>424038.2</v>
      </c>
      <c r="F13" s="207">
        <v>5263.48</v>
      </c>
      <c r="G13" s="64">
        <f t="shared" si="1"/>
        <v>25550.880000000001</v>
      </c>
      <c r="H13" s="64">
        <f t="shared" si="2"/>
        <v>398487.32</v>
      </c>
    </row>
    <row r="14" spans="1:9" x14ac:dyDescent="0.2">
      <c r="A14" s="59" t="s">
        <v>329</v>
      </c>
      <c r="B14" s="60">
        <v>45924</v>
      </c>
      <c r="C14" s="61" t="s">
        <v>330</v>
      </c>
      <c r="D14" s="63"/>
      <c r="E14" s="63">
        <f t="shared" si="0"/>
        <v>424038.2</v>
      </c>
      <c r="F14" s="207">
        <v>11197.93</v>
      </c>
      <c r="G14" s="64">
        <f t="shared" si="1"/>
        <v>36748.81</v>
      </c>
      <c r="H14" s="64">
        <f t="shared" si="2"/>
        <v>387289.39</v>
      </c>
    </row>
    <row r="15" spans="1:9" x14ac:dyDescent="0.2">
      <c r="A15" s="59" t="s">
        <v>346</v>
      </c>
      <c r="B15" s="60">
        <v>45945</v>
      </c>
      <c r="C15" s="61" t="s">
        <v>347</v>
      </c>
      <c r="D15" s="63"/>
      <c r="E15" s="63">
        <f t="shared" si="0"/>
        <v>424038.2</v>
      </c>
      <c r="F15" s="207">
        <v>13998.41</v>
      </c>
      <c r="G15" s="64">
        <f t="shared" si="1"/>
        <v>50747.22</v>
      </c>
      <c r="H15" s="64">
        <f t="shared" si="2"/>
        <v>373290.98000000004</v>
      </c>
    </row>
    <row r="16" spans="1:9" x14ac:dyDescent="0.2">
      <c r="A16" s="59"/>
      <c r="B16" s="60"/>
      <c r="C16" s="61"/>
      <c r="D16" s="63"/>
      <c r="E16" s="63">
        <f t="shared" si="0"/>
        <v>424038.2</v>
      </c>
      <c r="F16" s="67"/>
      <c r="G16" s="64">
        <f t="shared" si="1"/>
        <v>50747.22</v>
      </c>
      <c r="H16" s="64">
        <f t="shared" si="2"/>
        <v>373290.98000000004</v>
      </c>
    </row>
    <row r="17" spans="1:9" x14ac:dyDescent="0.2">
      <c r="A17" s="59"/>
      <c r="B17" s="60"/>
      <c r="C17" s="61"/>
      <c r="D17" s="63"/>
      <c r="E17" s="63">
        <f t="shared" si="0"/>
        <v>424038.2</v>
      </c>
      <c r="F17" s="67"/>
      <c r="G17" s="64">
        <f t="shared" si="1"/>
        <v>50747.22</v>
      </c>
      <c r="H17" s="64">
        <f t="shared" si="2"/>
        <v>373290.98000000004</v>
      </c>
    </row>
    <row r="18" spans="1:9" x14ac:dyDescent="0.2">
      <c r="A18" s="59"/>
      <c r="B18" s="60"/>
      <c r="C18" s="61"/>
      <c r="D18" s="63"/>
      <c r="E18" s="63">
        <f t="shared" si="0"/>
        <v>424038.2</v>
      </c>
      <c r="F18" s="67"/>
      <c r="G18" s="64">
        <f t="shared" si="1"/>
        <v>50747.22</v>
      </c>
      <c r="H18" s="64">
        <f t="shared" si="2"/>
        <v>373290.98000000004</v>
      </c>
    </row>
    <row r="19" spans="1:9" x14ac:dyDescent="0.2">
      <c r="A19" s="59"/>
      <c r="B19" s="60"/>
      <c r="C19" s="61"/>
      <c r="D19" s="63"/>
      <c r="E19" s="63">
        <f t="shared" si="0"/>
        <v>424038.2</v>
      </c>
      <c r="F19" s="64"/>
      <c r="G19" s="64">
        <f t="shared" si="1"/>
        <v>50747.22</v>
      </c>
      <c r="H19" s="64">
        <f t="shared" si="2"/>
        <v>373290.98000000004</v>
      </c>
    </row>
    <row r="20" spans="1:9" x14ac:dyDescent="0.2">
      <c r="A20" s="59"/>
      <c r="B20" s="60"/>
      <c r="C20" s="61"/>
      <c r="D20" s="63"/>
      <c r="E20" s="63">
        <f t="shared" si="0"/>
        <v>424038.2</v>
      </c>
      <c r="F20" s="64"/>
      <c r="G20" s="64">
        <f t="shared" si="1"/>
        <v>50747.22</v>
      </c>
      <c r="H20" s="64">
        <f t="shared" si="2"/>
        <v>373290.98000000004</v>
      </c>
    </row>
    <row r="21" spans="1:9" x14ac:dyDescent="0.2">
      <c r="A21" s="59"/>
      <c r="B21" s="60"/>
      <c r="C21" s="68"/>
      <c r="D21" s="63"/>
      <c r="E21" s="63">
        <f t="shared" si="0"/>
        <v>424038.2</v>
      </c>
      <c r="F21" s="64"/>
      <c r="G21" s="64">
        <f t="shared" si="1"/>
        <v>50747.22</v>
      </c>
      <c r="H21" s="64">
        <f t="shared" si="2"/>
        <v>373290.98000000004</v>
      </c>
    </row>
    <row r="22" spans="1:9" x14ac:dyDescent="0.2">
      <c r="A22" s="59"/>
      <c r="B22" s="61"/>
      <c r="C22" s="69"/>
      <c r="D22" s="64"/>
      <c r="E22" s="64"/>
      <c r="F22" s="64"/>
      <c r="G22" s="64"/>
      <c r="H22" s="64"/>
    </row>
    <row r="23" spans="1:9" ht="13.5" thickBot="1" x14ac:dyDescent="0.25">
      <c r="A23" s="59"/>
      <c r="B23" s="70"/>
      <c r="C23" s="71" t="s">
        <v>28</v>
      </c>
      <c r="D23" s="72">
        <f>SUM(D9:D22)</f>
        <v>424038.2</v>
      </c>
      <c r="E23" s="72"/>
      <c r="F23" s="72">
        <f>SUM(F9:F22)</f>
        <v>50747.22</v>
      </c>
      <c r="G23" s="72"/>
      <c r="H23" s="72">
        <f>D23-F23</f>
        <v>373290.98</v>
      </c>
    </row>
    <row r="24" spans="1:9" ht="13.5" thickTop="1" x14ac:dyDescent="0.2">
      <c r="A24" s="73"/>
      <c r="B24" s="61"/>
      <c r="C24" s="69"/>
      <c r="D24" s="64"/>
      <c r="E24" s="64"/>
      <c r="F24" s="64"/>
      <c r="G24" s="64"/>
      <c r="H24" s="64"/>
    </row>
    <row r="25" spans="1:9" x14ac:dyDescent="0.2">
      <c r="A25" s="73"/>
      <c r="B25" s="61"/>
      <c r="C25" s="69"/>
      <c r="D25" s="64"/>
      <c r="E25" s="64"/>
      <c r="F25" s="64"/>
      <c r="G25" s="64"/>
      <c r="H25" s="64"/>
    </row>
    <row r="26" spans="1:9" x14ac:dyDescent="0.2">
      <c r="A26" s="73"/>
      <c r="B26" s="61"/>
      <c r="C26" s="69" t="s">
        <v>229</v>
      </c>
      <c r="D26" s="64">
        <v>270785.24</v>
      </c>
      <c r="E26" s="64"/>
      <c r="F26" s="64">
        <f>9383.84+8422.64+5263.48+4435.28+7235.76</f>
        <v>34741</v>
      </c>
      <c r="G26" s="64"/>
      <c r="H26" s="64">
        <f>D26-F26</f>
        <v>236044.24</v>
      </c>
    </row>
    <row r="27" spans="1:9" x14ac:dyDescent="0.2">
      <c r="A27" s="73"/>
      <c r="B27" s="61"/>
      <c r="C27" s="69" t="s">
        <v>117</v>
      </c>
      <c r="D27" s="64">
        <v>18000</v>
      </c>
      <c r="E27" s="64"/>
      <c r="F27" s="64">
        <f>1500</f>
        <v>1500</v>
      </c>
      <c r="G27" s="64"/>
      <c r="H27" s="64">
        <f>D27-F27</f>
        <v>16500</v>
      </c>
    </row>
    <row r="28" spans="1:9" x14ac:dyDescent="0.2">
      <c r="A28" s="73"/>
      <c r="B28" s="61"/>
      <c r="C28" s="69" t="s">
        <v>230</v>
      </c>
      <c r="D28" s="64">
        <v>135252.96</v>
      </c>
      <c r="E28" s="64"/>
      <c r="F28" s="64">
        <f>980.92+6762.65+6762.65</f>
        <v>14506.22</v>
      </c>
      <c r="G28" s="64"/>
      <c r="H28" s="64">
        <f>D28-F28</f>
        <v>120746.73999999999</v>
      </c>
    </row>
    <row r="29" spans="1:9" ht="13.5" thickBot="1" x14ac:dyDescent="0.25">
      <c r="A29" s="73"/>
      <c r="B29" s="61"/>
      <c r="C29" s="96" t="s">
        <v>133</v>
      </c>
      <c r="D29" s="72">
        <f>SUM(D25:D28)</f>
        <v>424038.19999999995</v>
      </c>
      <c r="E29" s="211"/>
      <c r="F29" s="72">
        <f>SUM(F25:F28)</f>
        <v>50747.22</v>
      </c>
      <c r="G29" s="211"/>
      <c r="H29" s="72">
        <f>SUM(H25:H28)</f>
        <v>373290.98</v>
      </c>
      <c r="I29" s="268"/>
    </row>
    <row r="30" spans="1:9" ht="13.5" thickTop="1" x14ac:dyDescent="0.2">
      <c r="A30" s="73"/>
      <c r="B30" s="61"/>
      <c r="C30" s="69"/>
      <c r="D30" s="64"/>
      <c r="E30" s="64"/>
      <c r="F30" s="64"/>
      <c r="G30" s="64"/>
      <c r="H30" s="64"/>
    </row>
    <row r="31" spans="1:9" x14ac:dyDescent="0.2">
      <c r="A31" s="73"/>
      <c r="B31" s="61"/>
      <c r="C31" s="69"/>
      <c r="D31" s="64"/>
      <c r="E31" s="64"/>
      <c r="F31" s="64"/>
      <c r="G31" s="64"/>
      <c r="H31" s="64"/>
    </row>
    <row r="32" spans="1:9" x14ac:dyDescent="0.2">
      <c r="A32" s="73"/>
      <c r="B32" s="61"/>
      <c r="C32" s="69" t="s">
        <v>228</v>
      </c>
      <c r="D32" s="64">
        <f>'[1]#9440.00 DCI Group'!$D$23</f>
        <v>43273.279999999999</v>
      </c>
      <c r="E32" s="64"/>
      <c r="F32" s="64">
        <f>'[1]#9440.00 DCI Group'!$F$23</f>
        <v>2417.56</v>
      </c>
      <c r="G32" s="64"/>
      <c r="H32" s="64">
        <f>'[1]#9440.00 DCI Group'!$H$23</f>
        <v>40855.72</v>
      </c>
    </row>
    <row r="33" spans="1:10" ht="13.5" thickBot="1" x14ac:dyDescent="0.25">
      <c r="A33" s="73"/>
      <c r="B33" s="61"/>
      <c r="C33" s="96" t="s">
        <v>133</v>
      </c>
      <c r="D33" s="72">
        <f>SUM(D23+D32)</f>
        <v>467311.48</v>
      </c>
      <c r="E33" s="211"/>
      <c r="F33" s="72">
        <f>F23+F32</f>
        <v>53164.78</v>
      </c>
      <c r="G33" s="211"/>
      <c r="H33" s="72">
        <f>SUM(H23+H32)</f>
        <v>414146.69999999995</v>
      </c>
    </row>
    <row r="34" spans="1:10" ht="13.5" thickTop="1" x14ac:dyDescent="0.2">
      <c r="A34" s="73"/>
      <c r="B34" s="61"/>
      <c r="C34" s="69"/>
      <c r="D34" s="64"/>
      <c r="E34" s="64"/>
      <c r="F34" s="64"/>
      <c r="G34" s="64"/>
      <c r="H34" s="64"/>
    </row>
    <row r="35" spans="1:10" x14ac:dyDescent="0.2">
      <c r="A35" s="73"/>
      <c r="B35" s="61"/>
      <c r="C35" s="69"/>
      <c r="D35" s="64"/>
      <c r="E35" s="64"/>
      <c r="F35" s="64"/>
      <c r="G35" s="64"/>
      <c r="H35" s="64"/>
    </row>
    <row r="36" spans="1:10" x14ac:dyDescent="0.2">
      <c r="A36" s="256" t="s">
        <v>260</v>
      </c>
      <c r="B36" s="61"/>
      <c r="C36" s="96"/>
      <c r="D36" s="45"/>
      <c r="E36" s="74"/>
      <c r="F36" s="75"/>
      <c r="G36" s="75"/>
      <c r="H36" s="45"/>
    </row>
    <row r="37" spans="1:10" x14ac:dyDescent="0.2">
      <c r="C37" s="69"/>
      <c r="D37" s="64"/>
      <c r="E37" s="64"/>
      <c r="F37" s="64"/>
      <c r="G37" s="64"/>
      <c r="H37" s="64"/>
    </row>
    <row r="38" spans="1:10" x14ac:dyDescent="0.2">
      <c r="C38" s="69"/>
      <c r="D38" s="64"/>
      <c r="E38" s="64"/>
      <c r="F38" s="64"/>
      <c r="G38" s="64"/>
      <c r="H38" s="64"/>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64"/>
      <c r="D41" s="212"/>
      <c r="E41" s="212"/>
      <c r="F41" s="212"/>
      <c r="G41" s="212"/>
      <c r="H41" s="212"/>
      <c r="I41" s="202"/>
      <c r="J41" s="269"/>
    </row>
    <row r="42" spans="1:10" s="80" customFormat="1" x14ac:dyDescent="0.2">
      <c r="A42" s="76"/>
      <c r="B42" s="77"/>
      <c r="C42" s="270"/>
      <c r="D42" s="202"/>
      <c r="E42" s="76"/>
      <c r="F42" s="269"/>
      <c r="G42" s="269"/>
      <c r="H42" s="202"/>
      <c r="I42" s="202"/>
      <c r="J42" s="269"/>
    </row>
    <row r="43" spans="1:10" s="80" customFormat="1" x14ac:dyDescent="0.2">
      <c r="A43" s="76"/>
      <c r="B43" s="77"/>
      <c r="C43" s="270"/>
      <c r="D43" s="202"/>
      <c r="E43" s="76"/>
      <c r="F43" s="269"/>
      <c r="G43" s="269"/>
      <c r="H43" s="202"/>
      <c r="I43" s="202"/>
      <c r="J43" s="269"/>
    </row>
    <row r="44" spans="1:10" s="80" customFormat="1" x14ac:dyDescent="0.2">
      <c r="A44" s="76"/>
      <c r="B44" s="77"/>
      <c r="C44" s="264"/>
      <c r="D44" s="271"/>
      <c r="E44" s="73"/>
      <c r="F44" s="272"/>
      <c r="G44" s="272"/>
      <c r="H44" s="271"/>
      <c r="I44" s="202"/>
      <c r="J44" s="269"/>
    </row>
    <row r="45" spans="1:10" s="80" customFormat="1" x14ac:dyDescent="0.2">
      <c r="A45" s="76"/>
      <c r="B45" s="77"/>
      <c r="C45" s="200"/>
      <c r="D45" s="201"/>
      <c r="E45" s="201"/>
      <c r="F45" s="201"/>
      <c r="G45" s="201"/>
      <c r="H45" s="201"/>
      <c r="I45" s="202"/>
      <c r="J45" s="269"/>
    </row>
    <row r="46" spans="1:10" s="80" customFormat="1" x14ac:dyDescent="0.2">
      <c r="A46" s="76"/>
      <c r="B46" s="77"/>
      <c r="C46" s="200"/>
      <c r="D46" s="201"/>
      <c r="E46" s="201"/>
      <c r="F46" s="201"/>
      <c r="G46" s="201"/>
      <c r="H46" s="201"/>
      <c r="I46" s="202"/>
      <c r="J46" s="269"/>
    </row>
    <row r="47" spans="1:10" s="80" customFormat="1" x14ac:dyDescent="0.2">
      <c r="A47" s="76"/>
      <c r="B47" s="77"/>
      <c r="C47" s="200"/>
      <c r="D47" s="201"/>
      <c r="E47" s="201"/>
      <c r="F47" s="201"/>
      <c r="G47" s="201"/>
      <c r="H47" s="201"/>
      <c r="I47" s="202"/>
      <c r="J47" s="269"/>
    </row>
    <row r="48" spans="1:10" s="80" customFormat="1" x14ac:dyDescent="0.2">
      <c r="A48" s="76"/>
      <c r="B48" s="77"/>
      <c r="C48" s="200"/>
      <c r="D48" s="201"/>
      <c r="E48" s="201"/>
      <c r="F48" s="201"/>
      <c r="G48" s="201"/>
      <c r="H48" s="201"/>
      <c r="I48" s="202"/>
      <c r="J48" s="269"/>
    </row>
    <row r="49" spans="1:10" s="80" customFormat="1" x14ac:dyDescent="0.2">
      <c r="A49" s="76"/>
      <c r="B49" s="77"/>
      <c r="C49" s="264"/>
      <c r="D49" s="212"/>
      <c r="E49" s="212"/>
      <c r="F49" s="212"/>
      <c r="G49" s="212"/>
      <c r="H49" s="212"/>
      <c r="I49" s="202"/>
      <c r="J49" s="269"/>
    </row>
    <row r="50" spans="1:10" s="80" customFormat="1" x14ac:dyDescent="0.2">
      <c r="A50" s="76"/>
      <c r="B50" s="77"/>
      <c r="C50" s="270"/>
      <c r="D50" s="202"/>
      <c r="E50" s="76"/>
      <c r="F50" s="269"/>
      <c r="G50" s="269"/>
      <c r="H50" s="202"/>
      <c r="I50" s="202"/>
      <c r="J50" s="269"/>
    </row>
    <row r="51" spans="1:10" s="80" customFormat="1" x14ac:dyDescent="0.2">
      <c r="A51" s="76"/>
      <c r="B51" s="77"/>
      <c r="C51" s="270"/>
      <c r="D51" s="202"/>
      <c r="E51" s="76"/>
      <c r="F51" s="269"/>
      <c r="G51" s="269"/>
      <c r="H51" s="202"/>
      <c r="I51" s="202"/>
      <c r="J51" s="269"/>
    </row>
    <row r="52" spans="1:10" s="80" customFormat="1" x14ac:dyDescent="0.2">
      <c r="A52" s="76"/>
      <c r="B52" s="77"/>
      <c r="C52" s="264"/>
      <c r="D52" s="271"/>
      <c r="E52" s="73"/>
      <c r="F52" s="272"/>
      <c r="G52" s="272"/>
      <c r="H52" s="271"/>
      <c r="I52" s="202"/>
      <c r="J52" s="269"/>
    </row>
    <row r="53" spans="1:10" s="80" customFormat="1" x14ac:dyDescent="0.2">
      <c r="A53" s="76"/>
      <c r="B53" s="77"/>
      <c r="C53" s="69"/>
      <c r="D53" s="64"/>
      <c r="E53" s="64"/>
      <c r="F53" s="64"/>
      <c r="G53" s="64"/>
      <c r="H53" s="64"/>
      <c r="I53" s="65"/>
    </row>
    <row r="54" spans="1:10" s="80" customFormat="1" x14ac:dyDescent="0.2">
      <c r="A54" s="76"/>
      <c r="B54" s="77"/>
      <c r="C54" s="69"/>
      <c r="D54" s="64"/>
      <c r="E54" s="64"/>
      <c r="F54" s="64"/>
      <c r="G54" s="64"/>
      <c r="H54" s="64"/>
      <c r="I54" s="65"/>
    </row>
    <row r="55" spans="1:10" s="80" customFormat="1" x14ac:dyDescent="0.2">
      <c r="A55" s="76"/>
      <c r="B55" s="77"/>
      <c r="C55" s="200"/>
      <c r="D55" s="201"/>
      <c r="E55" s="201"/>
      <c r="F55" s="201"/>
      <c r="G55" s="201"/>
      <c r="H55" s="201"/>
      <c r="I55" s="202"/>
    </row>
    <row r="56" spans="1:10" s="80" customFormat="1" x14ac:dyDescent="0.2">
      <c r="A56" s="76"/>
      <c r="B56" s="77"/>
      <c r="C56" s="200"/>
      <c r="D56" s="201"/>
      <c r="E56" s="201"/>
      <c r="F56" s="201"/>
      <c r="G56" s="201"/>
      <c r="H56" s="201"/>
      <c r="I56" s="202"/>
    </row>
    <row r="57" spans="1:10" s="80" customFormat="1" x14ac:dyDescent="0.2">
      <c r="A57" s="76"/>
      <c r="B57" s="77"/>
      <c r="C57" s="264"/>
      <c r="D57" s="212"/>
      <c r="E57" s="212"/>
      <c r="F57" s="212"/>
      <c r="G57" s="212"/>
      <c r="H57" s="212"/>
      <c r="I57" s="202"/>
    </row>
    <row r="58" spans="1:10" s="80" customFormat="1" x14ac:dyDescent="0.2">
      <c r="A58" s="76"/>
      <c r="B58" s="77"/>
      <c r="C58" s="264"/>
      <c r="D58" s="212"/>
      <c r="E58" s="212"/>
      <c r="F58" s="212"/>
      <c r="G58" s="212"/>
      <c r="H58" s="212"/>
      <c r="I58" s="202"/>
    </row>
    <row r="59" spans="1:10" s="80" customFormat="1" x14ac:dyDescent="0.2">
      <c r="A59" s="76"/>
      <c r="B59" s="77"/>
      <c r="C59" s="264"/>
      <c r="D59" s="212"/>
      <c r="E59" s="212"/>
      <c r="F59" s="212"/>
      <c r="G59" s="212"/>
      <c r="H59" s="212"/>
      <c r="I59" s="202"/>
    </row>
    <row r="60" spans="1:10" s="80" customFormat="1" x14ac:dyDescent="0.2">
      <c r="A60" s="76"/>
      <c r="B60" s="77"/>
      <c r="C60" s="264"/>
      <c r="D60" s="271"/>
      <c r="E60" s="73"/>
      <c r="F60" s="272"/>
      <c r="G60" s="272"/>
      <c r="H60" s="271"/>
      <c r="I60" s="202"/>
    </row>
    <row r="61" spans="1:10" s="80" customFormat="1" x14ac:dyDescent="0.2">
      <c r="A61" s="76"/>
      <c r="B61" s="77"/>
      <c r="C61" s="200"/>
      <c r="D61" s="201"/>
      <c r="E61" s="201"/>
      <c r="F61" s="201"/>
      <c r="G61" s="201"/>
      <c r="H61" s="201"/>
      <c r="I61" s="202"/>
    </row>
    <row r="62" spans="1:10" s="80" customFormat="1" x14ac:dyDescent="0.2">
      <c r="A62" s="76"/>
      <c r="B62" s="77"/>
      <c r="C62" s="200"/>
      <c r="D62" s="201"/>
      <c r="E62" s="201"/>
      <c r="F62" s="201"/>
      <c r="G62" s="201"/>
      <c r="H62" s="201"/>
      <c r="I62" s="202"/>
    </row>
    <row r="63" spans="1:10" s="80" customFormat="1" x14ac:dyDescent="0.2">
      <c r="A63" s="76"/>
      <c r="B63" s="77"/>
      <c r="C63" s="200"/>
      <c r="D63" s="201"/>
      <c r="E63" s="201"/>
      <c r="F63" s="201"/>
      <c r="G63" s="201"/>
      <c r="H63" s="201"/>
      <c r="I63" s="202"/>
    </row>
    <row r="64" spans="1:10" s="80" customFormat="1" x14ac:dyDescent="0.2">
      <c r="A64" s="76"/>
      <c r="B64" s="77"/>
      <c r="C64" s="200"/>
      <c r="D64" s="201"/>
      <c r="E64" s="201"/>
      <c r="F64" s="201"/>
      <c r="G64" s="201"/>
      <c r="H64" s="201"/>
      <c r="I64" s="202"/>
    </row>
    <row r="65" spans="1:9" s="80" customFormat="1" x14ac:dyDescent="0.2">
      <c r="A65" s="76"/>
      <c r="B65" s="77"/>
      <c r="C65" s="264"/>
      <c r="D65" s="212"/>
      <c r="E65" s="212"/>
      <c r="F65" s="212"/>
      <c r="G65" s="212"/>
      <c r="H65" s="212"/>
      <c r="I65" s="202"/>
    </row>
    <row r="66" spans="1:9" s="80" customFormat="1" x14ac:dyDescent="0.2">
      <c r="A66" s="76"/>
      <c r="B66" s="77"/>
      <c r="C66" s="264"/>
      <c r="D66" s="212"/>
      <c r="E66" s="212"/>
      <c r="F66" s="212"/>
      <c r="G66" s="212"/>
      <c r="H66" s="212"/>
      <c r="I66" s="202"/>
    </row>
    <row r="67" spans="1:9" s="80" customFormat="1" x14ac:dyDescent="0.2">
      <c r="A67" s="76"/>
      <c r="B67" s="77"/>
      <c r="C67" s="264"/>
      <c r="D67" s="212"/>
      <c r="E67" s="212"/>
      <c r="F67" s="212"/>
      <c r="G67" s="212"/>
      <c r="H67" s="212"/>
      <c r="I67" s="202"/>
    </row>
    <row r="68" spans="1:9" s="80" customFormat="1" x14ac:dyDescent="0.2">
      <c r="A68" s="76"/>
      <c r="B68" s="77"/>
      <c r="C68" s="264"/>
      <c r="D68" s="271"/>
      <c r="E68" s="73"/>
      <c r="F68" s="272"/>
      <c r="G68" s="272"/>
      <c r="H68" s="271"/>
      <c r="I68" s="202"/>
    </row>
    <row r="69" spans="1:9" s="80" customFormat="1" x14ac:dyDescent="0.2">
      <c r="A69" s="76"/>
      <c r="B69" s="77"/>
      <c r="C69" s="200"/>
      <c r="D69" s="201"/>
      <c r="E69" s="201"/>
      <c r="F69" s="201"/>
      <c r="G69" s="201"/>
      <c r="H69" s="201"/>
      <c r="I69" s="202"/>
    </row>
    <row r="70" spans="1:9" s="80" customFormat="1" x14ac:dyDescent="0.2">
      <c r="A70" s="76"/>
      <c r="B70" s="77"/>
      <c r="C70" s="200"/>
      <c r="D70" s="201"/>
      <c r="E70" s="201"/>
      <c r="F70" s="201"/>
      <c r="G70" s="201"/>
      <c r="H70" s="201"/>
      <c r="I70" s="202"/>
    </row>
    <row r="71" spans="1:9" s="80" customFormat="1" x14ac:dyDescent="0.2">
      <c r="A71" s="76"/>
      <c r="B71" s="77"/>
      <c r="C71" s="200"/>
      <c r="D71" s="201"/>
      <c r="E71" s="201"/>
      <c r="F71" s="201"/>
      <c r="G71" s="201"/>
      <c r="H71" s="201"/>
      <c r="I71" s="202"/>
    </row>
    <row r="72" spans="1:9" s="80" customFormat="1" x14ac:dyDescent="0.2">
      <c r="A72" s="76"/>
      <c r="B72" s="77"/>
      <c r="C72" s="200"/>
      <c r="D72" s="201"/>
      <c r="E72" s="201"/>
      <c r="F72" s="201"/>
      <c r="G72" s="201"/>
      <c r="H72" s="201"/>
      <c r="I72" s="202"/>
    </row>
    <row r="73" spans="1:9" s="80" customFormat="1" x14ac:dyDescent="0.2">
      <c r="A73" s="76"/>
      <c r="B73" s="77"/>
      <c r="C73" s="264"/>
      <c r="D73" s="212"/>
      <c r="E73" s="212"/>
      <c r="F73" s="212"/>
      <c r="G73" s="212"/>
      <c r="H73" s="212"/>
      <c r="I73" s="202"/>
    </row>
    <row r="74" spans="1:9" s="80" customFormat="1" x14ac:dyDescent="0.2">
      <c r="A74" s="76"/>
      <c r="B74" s="77"/>
      <c r="C74" s="270"/>
      <c r="D74" s="202"/>
      <c r="E74" s="76"/>
      <c r="F74" s="269"/>
      <c r="G74" s="269"/>
      <c r="H74" s="202"/>
      <c r="I74" s="202"/>
    </row>
    <row r="75" spans="1:9" s="80" customFormat="1" x14ac:dyDescent="0.2">
      <c r="A75" s="76"/>
      <c r="B75" s="77"/>
      <c r="C75" s="270"/>
      <c r="D75" s="202"/>
      <c r="E75" s="76"/>
      <c r="F75" s="269"/>
      <c r="G75" s="269"/>
      <c r="H75" s="202"/>
      <c r="I75" s="202"/>
    </row>
    <row r="76" spans="1:9" s="80" customFormat="1" x14ac:dyDescent="0.2">
      <c r="A76" s="76"/>
      <c r="B76" s="77"/>
      <c r="C76" s="264"/>
      <c r="D76" s="271"/>
      <c r="E76" s="73"/>
      <c r="F76" s="272"/>
      <c r="G76" s="272"/>
      <c r="H76" s="271"/>
      <c r="I76" s="202"/>
    </row>
    <row r="77" spans="1:9" s="80" customFormat="1" x14ac:dyDescent="0.2">
      <c r="A77" s="76"/>
      <c r="B77" s="77"/>
      <c r="C77" s="200"/>
      <c r="D77" s="201"/>
      <c r="E77" s="201"/>
      <c r="F77" s="201"/>
      <c r="G77" s="201"/>
      <c r="H77" s="201"/>
      <c r="I77" s="202"/>
    </row>
    <row r="78" spans="1:9" s="80" customFormat="1" x14ac:dyDescent="0.2">
      <c r="A78" s="76"/>
      <c r="B78" s="77"/>
      <c r="C78" s="200"/>
      <c r="D78" s="201"/>
      <c r="E78" s="201"/>
      <c r="F78" s="201"/>
      <c r="G78" s="201"/>
      <c r="H78" s="201"/>
      <c r="I78" s="202"/>
    </row>
    <row r="79" spans="1:9" s="80" customFormat="1" x14ac:dyDescent="0.2">
      <c r="A79" s="76"/>
      <c r="B79" s="77"/>
      <c r="C79" s="200"/>
      <c r="D79" s="201"/>
      <c r="E79" s="201"/>
      <c r="F79" s="201"/>
      <c r="G79" s="201"/>
      <c r="H79" s="201"/>
      <c r="I79" s="202"/>
    </row>
    <row r="80" spans="1:9" s="80" customFormat="1" x14ac:dyDescent="0.2">
      <c r="A80" s="76"/>
      <c r="B80" s="77"/>
      <c r="C80" s="200"/>
      <c r="D80" s="201"/>
      <c r="E80" s="201"/>
      <c r="F80" s="201"/>
      <c r="G80" s="201"/>
      <c r="H80" s="201"/>
      <c r="I80" s="202"/>
    </row>
    <row r="81" spans="1:10" s="80" customFormat="1" x14ac:dyDescent="0.2">
      <c r="A81" s="76"/>
      <c r="B81" s="77"/>
      <c r="C81" s="264"/>
      <c r="D81" s="212"/>
      <c r="E81" s="212"/>
      <c r="F81" s="212"/>
      <c r="G81" s="212"/>
      <c r="H81" s="212"/>
      <c r="I81" s="202"/>
    </row>
    <row r="82" spans="1:10" s="80" customFormat="1" x14ac:dyDescent="0.2">
      <c r="A82" s="76"/>
      <c r="B82" s="77"/>
      <c r="C82" s="270"/>
      <c r="D82" s="202"/>
      <c r="E82" s="76"/>
      <c r="F82" s="269"/>
      <c r="G82" s="269"/>
      <c r="H82" s="202"/>
      <c r="I82" s="202"/>
    </row>
    <row r="83" spans="1:10" s="80" customFormat="1" x14ac:dyDescent="0.2">
      <c r="A83" s="76"/>
      <c r="B83" s="77"/>
      <c r="C83" s="78"/>
      <c r="D83" s="65"/>
      <c r="E83" s="79"/>
      <c r="H83" s="65"/>
      <c r="I83" s="65"/>
    </row>
    <row r="84" spans="1:10" s="80" customFormat="1" x14ac:dyDescent="0.2">
      <c r="A84" s="76"/>
      <c r="B84" s="77"/>
      <c r="C84" s="96"/>
      <c r="D84" s="45"/>
      <c r="E84" s="74"/>
      <c r="F84" s="75"/>
      <c r="G84" s="75"/>
      <c r="H84" s="45"/>
      <c r="I84" s="65"/>
    </row>
    <row r="85" spans="1:10" s="80" customFormat="1" x14ac:dyDescent="0.2">
      <c r="A85" s="76"/>
      <c r="B85" s="77"/>
      <c r="C85" s="200"/>
      <c r="D85" s="201"/>
      <c r="E85" s="201"/>
      <c r="F85" s="201"/>
      <c r="G85" s="201"/>
      <c r="H85" s="201"/>
      <c r="I85" s="202"/>
      <c r="J85" s="269"/>
    </row>
    <row r="86" spans="1:10" s="80" customFormat="1" x14ac:dyDescent="0.2">
      <c r="A86" s="76"/>
      <c r="B86" s="77"/>
      <c r="C86" s="200"/>
      <c r="D86" s="201"/>
      <c r="E86" s="201"/>
      <c r="F86" s="201"/>
      <c r="G86" s="201"/>
      <c r="H86" s="20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64"/>
      <c r="D89" s="212"/>
      <c r="E89" s="212"/>
      <c r="F89" s="212"/>
      <c r="G89" s="212"/>
      <c r="H89" s="212"/>
      <c r="I89" s="202"/>
      <c r="J89" s="269"/>
    </row>
    <row r="90" spans="1:10" s="80" customFormat="1" x14ac:dyDescent="0.2">
      <c r="A90" s="76"/>
      <c r="B90" s="77"/>
      <c r="C90" s="270"/>
      <c r="D90" s="202"/>
      <c r="E90" s="76"/>
      <c r="F90" s="269"/>
      <c r="G90" s="269"/>
      <c r="H90" s="202"/>
      <c r="I90" s="202"/>
      <c r="J90" s="269"/>
    </row>
    <row r="91" spans="1:10" s="80" customFormat="1" x14ac:dyDescent="0.2">
      <c r="A91" s="76"/>
      <c r="B91" s="77"/>
      <c r="C91" s="270"/>
      <c r="D91" s="202"/>
      <c r="E91" s="76"/>
      <c r="F91" s="269"/>
      <c r="G91" s="269"/>
      <c r="H91" s="202"/>
      <c r="I91" s="202"/>
      <c r="J91" s="269"/>
    </row>
    <row r="92" spans="1:10" s="80" customFormat="1" x14ac:dyDescent="0.2">
      <c r="A92" s="76"/>
      <c r="B92" s="77"/>
      <c r="C92" s="264"/>
      <c r="D92" s="271"/>
      <c r="E92" s="73"/>
      <c r="F92" s="272"/>
      <c r="G92" s="272"/>
      <c r="H92" s="271"/>
      <c r="I92" s="202"/>
      <c r="J92" s="269"/>
    </row>
    <row r="93" spans="1:10" s="80" customFormat="1" x14ac:dyDescent="0.2">
      <c r="A93" s="76"/>
      <c r="B93" s="77"/>
      <c r="C93" s="200"/>
      <c r="D93" s="201"/>
      <c r="E93" s="201"/>
      <c r="F93" s="201"/>
      <c r="G93" s="201"/>
      <c r="H93" s="201"/>
      <c r="I93" s="202"/>
      <c r="J93" s="269"/>
    </row>
    <row r="94" spans="1:10" s="80" customFormat="1" x14ac:dyDescent="0.2">
      <c r="A94" s="76"/>
      <c r="B94" s="77"/>
      <c r="C94" s="200"/>
      <c r="D94" s="201"/>
      <c r="E94" s="201"/>
      <c r="F94" s="201"/>
      <c r="G94" s="201"/>
      <c r="H94" s="201"/>
      <c r="I94" s="202"/>
      <c r="J94" s="269"/>
    </row>
    <row r="95" spans="1:10" s="80" customFormat="1" x14ac:dyDescent="0.2">
      <c r="A95" s="76"/>
      <c r="B95" s="77"/>
      <c r="C95" s="200"/>
      <c r="D95" s="201"/>
      <c r="E95" s="201"/>
      <c r="F95" s="201"/>
      <c r="G95" s="201"/>
      <c r="H95" s="201"/>
      <c r="I95" s="202"/>
      <c r="J95" s="269"/>
    </row>
    <row r="96" spans="1:10" s="80" customFormat="1" x14ac:dyDescent="0.2">
      <c r="A96" s="76"/>
      <c r="B96" s="77"/>
      <c r="C96" s="200"/>
      <c r="D96" s="201"/>
      <c r="E96" s="201"/>
      <c r="F96" s="201"/>
      <c r="G96" s="201"/>
      <c r="H96" s="201"/>
      <c r="I96" s="202"/>
      <c r="J96" s="269"/>
    </row>
    <row r="97" spans="1:10" s="80" customFormat="1" x14ac:dyDescent="0.2">
      <c r="A97" s="76"/>
      <c r="B97" s="77"/>
      <c r="C97" s="264"/>
      <c r="D97" s="212"/>
      <c r="E97" s="212"/>
      <c r="F97" s="212"/>
      <c r="G97" s="212"/>
      <c r="H97" s="212"/>
      <c r="I97" s="202"/>
      <c r="J97" s="269"/>
    </row>
    <row r="98" spans="1:10" s="80" customFormat="1" x14ac:dyDescent="0.2">
      <c r="A98" s="76"/>
      <c r="B98" s="77"/>
      <c r="C98" s="270"/>
      <c r="D98" s="202"/>
      <c r="E98" s="76"/>
      <c r="F98" s="269"/>
      <c r="G98" s="269"/>
      <c r="H98" s="202"/>
      <c r="I98" s="202"/>
      <c r="J98" s="269"/>
    </row>
    <row r="99" spans="1:10" s="80" customFormat="1" x14ac:dyDescent="0.2">
      <c r="A99" s="76"/>
      <c r="B99" s="77"/>
      <c r="C99" s="270"/>
      <c r="D99" s="202"/>
      <c r="E99" s="76"/>
      <c r="F99" s="269"/>
      <c r="G99" s="269"/>
      <c r="H99" s="202"/>
      <c r="I99" s="202"/>
      <c r="J99" s="269"/>
    </row>
    <row r="100" spans="1:10" s="80" customFormat="1" x14ac:dyDescent="0.2">
      <c r="A100" s="76"/>
      <c r="B100" s="77"/>
      <c r="C100" s="200"/>
      <c r="D100" s="201"/>
      <c r="E100" s="76"/>
      <c r="F100" s="272"/>
      <c r="G100" s="269"/>
      <c r="H100" s="201"/>
      <c r="I100" s="202"/>
      <c r="J100" s="269"/>
    </row>
    <row r="101" spans="1:10" s="80" customFormat="1" x14ac:dyDescent="0.2">
      <c r="A101" s="76"/>
      <c r="B101" s="77"/>
      <c r="C101" s="264"/>
      <c r="D101" s="212"/>
      <c r="E101" s="212"/>
      <c r="F101" s="212"/>
      <c r="G101" s="212"/>
      <c r="H101" s="212"/>
      <c r="I101" s="202"/>
      <c r="J101" s="269"/>
    </row>
    <row r="102" spans="1:10" s="80" customFormat="1" x14ac:dyDescent="0.2">
      <c r="A102" s="76"/>
      <c r="B102" s="77"/>
      <c r="C102" s="270"/>
      <c r="D102" s="202"/>
      <c r="E102" s="76"/>
      <c r="F102" s="269"/>
      <c r="G102" s="269"/>
      <c r="H102" s="202"/>
      <c r="I102" s="202"/>
      <c r="J102" s="269"/>
    </row>
    <row r="103" spans="1:10" s="80" customFormat="1" x14ac:dyDescent="0.2">
      <c r="A103" s="76"/>
      <c r="B103" s="77"/>
      <c r="C103" s="270"/>
      <c r="D103" s="202"/>
      <c r="E103" s="76"/>
      <c r="F103" s="269"/>
      <c r="G103" s="269"/>
      <c r="H103" s="202"/>
      <c r="I103" s="202"/>
      <c r="J103" s="269"/>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408B-6E26-4D16-AEE8-88B31145B2C7}">
  <sheetPr>
    <pageSetUpPr fitToPage="1"/>
  </sheetPr>
  <dimension ref="A1:J569"/>
  <sheetViews>
    <sheetView zoomScaleNormal="100" workbookViewId="0">
      <selection activeCell="B11" sqref="B11"/>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5.425781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231</v>
      </c>
      <c r="B4" s="37"/>
      <c r="C4" s="38"/>
      <c r="D4" s="39" t="s">
        <v>232</v>
      </c>
      <c r="E4" s="40"/>
      <c r="F4" s="34"/>
      <c r="G4" s="34"/>
    </row>
    <row r="5" spans="1:9" s="35" customFormat="1" ht="15.75" x14ac:dyDescent="0.25">
      <c r="A5" s="41" t="s">
        <v>86</v>
      </c>
      <c r="B5" s="42"/>
      <c r="C5" s="43"/>
      <c r="D5" s="44" t="s">
        <v>233</v>
      </c>
      <c r="E5" s="45"/>
      <c r="F5" s="46"/>
      <c r="G5" s="47"/>
      <c r="H5" s="42"/>
    </row>
    <row r="6" spans="1:9" s="35" customFormat="1" ht="15.75" x14ac:dyDescent="0.25">
      <c r="A6" s="13" t="str">
        <f>'RECAP #9440.00'!B6</f>
        <v>Project Manager - Brad T.</v>
      </c>
      <c r="B6" s="11"/>
      <c r="C6" s="48"/>
      <c r="D6" s="49" t="s">
        <v>234</v>
      </c>
      <c r="E6" s="50"/>
      <c r="F6" s="51"/>
      <c r="G6" s="47"/>
      <c r="H6" s="42"/>
    </row>
    <row r="7" spans="1:9" s="35" customFormat="1" ht="15.75" x14ac:dyDescent="0.25">
      <c r="B7" s="52"/>
      <c r="C7" s="52"/>
      <c r="D7" s="35" t="s">
        <v>235</v>
      </c>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276" t="s">
        <v>303</v>
      </c>
      <c r="B9" s="277">
        <v>45793</v>
      </c>
      <c r="C9" s="278" t="s">
        <v>88</v>
      </c>
      <c r="D9" s="288">
        <v>381025</v>
      </c>
      <c r="E9" s="279">
        <f>D9</f>
        <v>381025</v>
      </c>
      <c r="F9" s="281"/>
      <c r="G9" s="281"/>
      <c r="H9" s="281">
        <f>E9</f>
        <v>381025</v>
      </c>
      <c r="I9" s="282" t="s">
        <v>289</v>
      </c>
    </row>
    <row r="10" spans="1:9" x14ac:dyDescent="0.2">
      <c r="A10" s="59" t="s">
        <v>304</v>
      </c>
      <c r="B10" s="60">
        <v>45891</v>
      </c>
      <c r="C10" s="61" t="s">
        <v>291</v>
      </c>
      <c r="D10" s="204">
        <v>0</v>
      </c>
      <c r="E10" s="63">
        <f t="shared" ref="E10:E21" si="0">E9+D10</f>
        <v>381025</v>
      </c>
      <c r="F10" s="67"/>
      <c r="G10" s="64">
        <f t="shared" ref="G10:G21" si="1">G9+F10</f>
        <v>0</v>
      </c>
      <c r="H10" s="64">
        <f t="shared" ref="H10:H21" si="2">H9-F10+D10</f>
        <v>381025</v>
      </c>
    </row>
    <row r="11" spans="1:9" x14ac:dyDescent="0.2">
      <c r="A11" s="59"/>
      <c r="B11" s="283"/>
      <c r="C11" s="61"/>
      <c r="D11" s="63"/>
      <c r="E11" s="63">
        <f t="shared" si="0"/>
        <v>381025</v>
      </c>
      <c r="F11" s="207"/>
      <c r="G11" s="64">
        <f t="shared" si="1"/>
        <v>0</v>
      </c>
      <c r="H11" s="64">
        <f t="shared" si="2"/>
        <v>381025</v>
      </c>
    </row>
    <row r="12" spans="1:9" x14ac:dyDescent="0.2">
      <c r="A12" s="59"/>
      <c r="B12" s="60"/>
      <c r="C12" s="61"/>
      <c r="D12" s="63"/>
      <c r="E12" s="63">
        <f t="shared" si="0"/>
        <v>381025</v>
      </c>
      <c r="F12" s="207"/>
      <c r="G12" s="64">
        <f t="shared" si="1"/>
        <v>0</v>
      </c>
      <c r="H12" s="64">
        <f t="shared" si="2"/>
        <v>381025</v>
      </c>
    </row>
    <row r="13" spans="1:9" x14ac:dyDescent="0.2">
      <c r="A13" s="59"/>
      <c r="B13" s="60"/>
      <c r="C13" s="61"/>
      <c r="D13" s="63"/>
      <c r="E13" s="63">
        <f t="shared" si="0"/>
        <v>381025</v>
      </c>
      <c r="F13" s="207"/>
      <c r="G13" s="64">
        <f t="shared" si="1"/>
        <v>0</v>
      </c>
      <c r="H13" s="64">
        <f t="shared" si="2"/>
        <v>381025</v>
      </c>
    </row>
    <row r="14" spans="1:9" x14ac:dyDescent="0.2">
      <c r="A14" s="59"/>
      <c r="B14" s="60"/>
      <c r="C14" s="61"/>
      <c r="D14" s="63"/>
      <c r="E14" s="63">
        <f t="shared" si="0"/>
        <v>381025</v>
      </c>
      <c r="F14" s="67"/>
      <c r="G14" s="64">
        <f t="shared" si="1"/>
        <v>0</v>
      </c>
      <c r="H14" s="64">
        <f t="shared" si="2"/>
        <v>381025</v>
      </c>
    </row>
    <row r="15" spans="1:9" x14ac:dyDescent="0.2">
      <c r="A15" s="59"/>
      <c r="B15" s="60"/>
      <c r="C15" s="61"/>
      <c r="D15" s="63"/>
      <c r="E15" s="63">
        <f t="shared" si="0"/>
        <v>381025</v>
      </c>
      <c r="F15" s="67"/>
      <c r="G15" s="64">
        <f t="shared" si="1"/>
        <v>0</v>
      </c>
      <c r="H15" s="64">
        <f t="shared" si="2"/>
        <v>381025</v>
      </c>
    </row>
    <row r="16" spans="1:9" x14ac:dyDescent="0.2">
      <c r="A16" s="59"/>
      <c r="B16" s="60"/>
      <c r="C16" s="61"/>
      <c r="D16" s="63"/>
      <c r="E16" s="63">
        <f t="shared" si="0"/>
        <v>381025</v>
      </c>
      <c r="F16" s="67"/>
      <c r="G16" s="64">
        <f t="shared" si="1"/>
        <v>0</v>
      </c>
      <c r="H16" s="64">
        <f t="shared" si="2"/>
        <v>381025</v>
      </c>
    </row>
    <row r="17" spans="1:8" x14ac:dyDescent="0.2">
      <c r="A17" s="59"/>
      <c r="B17" s="60"/>
      <c r="C17" s="61"/>
      <c r="D17" s="63"/>
      <c r="E17" s="63">
        <f t="shared" si="0"/>
        <v>381025</v>
      </c>
      <c r="F17" s="67"/>
      <c r="G17" s="64">
        <f t="shared" si="1"/>
        <v>0</v>
      </c>
      <c r="H17" s="64">
        <f t="shared" si="2"/>
        <v>381025</v>
      </c>
    </row>
    <row r="18" spans="1:8" x14ac:dyDescent="0.2">
      <c r="A18" s="59"/>
      <c r="B18" s="60"/>
      <c r="C18" s="61"/>
      <c r="D18" s="63"/>
      <c r="E18" s="63">
        <f t="shared" si="0"/>
        <v>381025</v>
      </c>
      <c r="F18" s="67"/>
      <c r="G18" s="64">
        <f t="shared" si="1"/>
        <v>0</v>
      </c>
      <c r="H18" s="64">
        <f t="shared" si="2"/>
        <v>381025</v>
      </c>
    </row>
    <row r="19" spans="1:8" x14ac:dyDescent="0.2">
      <c r="A19" s="59"/>
      <c r="B19" s="60"/>
      <c r="C19" s="61"/>
      <c r="D19" s="63"/>
      <c r="E19" s="63">
        <f t="shared" si="0"/>
        <v>381025</v>
      </c>
      <c r="F19" s="64"/>
      <c r="G19" s="64">
        <f t="shared" si="1"/>
        <v>0</v>
      </c>
      <c r="H19" s="64">
        <f t="shared" si="2"/>
        <v>381025</v>
      </c>
    </row>
    <row r="20" spans="1:8" x14ac:dyDescent="0.2">
      <c r="A20" s="59"/>
      <c r="B20" s="60"/>
      <c r="C20" s="61"/>
      <c r="D20" s="63"/>
      <c r="E20" s="63">
        <f t="shared" si="0"/>
        <v>381025</v>
      </c>
      <c r="F20" s="64"/>
      <c r="G20" s="64">
        <f t="shared" si="1"/>
        <v>0</v>
      </c>
      <c r="H20" s="64">
        <f t="shared" si="2"/>
        <v>381025</v>
      </c>
    </row>
    <row r="21" spans="1:8" x14ac:dyDescent="0.2">
      <c r="A21" s="59"/>
      <c r="B21" s="60"/>
      <c r="C21" s="68"/>
      <c r="D21" s="63"/>
      <c r="E21" s="63">
        <f t="shared" si="0"/>
        <v>381025</v>
      </c>
      <c r="F21" s="64"/>
      <c r="G21" s="64">
        <f t="shared" si="1"/>
        <v>0</v>
      </c>
      <c r="H21" s="64">
        <f t="shared" si="2"/>
        <v>381025</v>
      </c>
    </row>
    <row r="22" spans="1:8" x14ac:dyDescent="0.2">
      <c r="A22" s="59"/>
      <c r="B22" s="61"/>
      <c r="C22" s="69"/>
      <c r="D22" s="64"/>
      <c r="E22" s="64"/>
      <c r="F22" s="64"/>
      <c r="G22" s="64"/>
      <c r="H22" s="64"/>
    </row>
    <row r="23" spans="1:8" ht="13.5" thickBot="1" x14ac:dyDescent="0.25">
      <c r="A23" s="59"/>
      <c r="B23" s="70"/>
      <c r="C23" s="71" t="s">
        <v>28</v>
      </c>
      <c r="D23" s="72">
        <f>SUM(D9:D22)</f>
        <v>381025</v>
      </c>
      <c r="E23" s="72"/>
      <c r="F23" s="72">
        <f>SUM(F9:F22)</f>
        <v>0</v>
      </c>
      <c r="G23" s="72"/>
      <c r="H23" s="72">
        <f>D23-F23</f>
        <v>381025</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f>'[1]#9440.00 Van Maanen Electrical'!$D$23</f>
        <v>28000</v>
      </c>
      <c r="E26" s="64"/>
      <c r="F26" s="64">
        <f>'[1]#9440.00 Van Maanen Electrical'!$F$23</f>
        <v>0</v>
      </c>
      <c r="G26" s="64"/>
      <c r="H26" s="64">
        <f>'[1]#9440.00 Van Maanen Electrical'!$H$23</f>
        <v>28000</v>
      </c>
    </row>
    <row r="27" spans="1:8" ht="13.5" thickBot="1" x14ac:dyDescent="0.25">
      <c r="A27" s="73"/>
      <c r="B27" s="61"/>
      <c r="C27" s="96" t="s">
        <v>133</v>
      </c>
      <c r="D27" s="72">
        <f>SUM(D23+D26)</f>
        <v>409025</v>
      </c>
      <c r="E27" s="211"/>
      <c r="F27" s="72">
        <f>F23+F26</f>
        <v>0</v>
      </c>
      <c r="G27" s="211"/>
      <c r="H27" s="72">
        <f>SUM(H23+H26)</f>
        <v>409025</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CF73-3526-467A-965D-63F5BCAAA0DE}">
  <sheetPr>
    <pageSetUpPr fitToPage="1"/>
  </sheetPr>
  <dimension ref="A1:J569"/>
  <sheetViews>
    <sheetView zoomScaleNormal="100" workbookViewId="0">
      <selection activeCell="B12" sqref="B12"/>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5703125" style="65" customWidth="1"/>
    <col min="10" max="10" width="5.710937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238</v>
      </c>
      <c r="B4" s="37"/>
      <c r="C4" s="38"/>
      <c r="D4" s="39" t="s">
        <v>239</v>
      </c>
      <c r="E4" s="40"/>
      <c r="F4" s="34"/>
      <c r="G4" s="34"/>
    </row>
    <row r="5" spans="1:10" s="35" customFormat="1" ht="15.75" x14ac:dyDescent="0.25">
      <c r="A5" s="41" t="s">
        <v>86</v>
      </c>
      <c r="B5" s="42"/>
      <c r="C5" s="43"/>
      <c r="D5" s="44" t="s">
        <v>233</v>
      </c>
      <c r="E5" s="45"/>
      <c r="F5" s="46"/>
      <c r="G5" s="47"/>
      <c r="H5" s="42"/>
    </row>
    <row r="6" spans="1:10" s="35" customFormat="1" ht="15.75" x14ac:dyDescent="0.25">
      <c r="A6" s="13" t="str">
        <f>'RECAP #9440.00'!B6</f>
        <v>Project Manager - Brad T.</v>
      </c>
      <c r="B6" s="11"/>
      <c r="C6" s="48"/>
      <c r="D6" s="49" t="s">
        <v>234</v>
      </c>
      <c r="E6" s="50"/>
      <c r="F6" s="51"/>
      <c r="G6" s="47"/>
      <c r="H6" s="42"/>
    </row>
    <row r="7" spans="1:10" s="35" customFormat="1" ht="15.75" x14ac:dyDescent="0.25">
      <c r="B7" s="52"/>
      <c r="C7" s="52"/>
      <c r="D7" s="35" t="s">
        <v>235</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74" t="s">
        <v>186</v>
      </c>
    </row>
    <row r="9" spans="1:10" x14ac:dyDescent="0.2">
      <c r="A9" s="59" t="s">
        <v>237</v>
      </c>
      <c r="B9" s="60">
        <v>45793</v>
      </c>
      <c r="C9" s="61" t="s">
        <v>88</v>
      </c>
      <c r="D9" s="204">
        <v>117850</v>
      </c>
      <c r="E9" s="63">
        <f>D9</f>
        <v>117850</v>
      </c>
      <c r="F9" s="64"/>
      <c r="G9" s="64"/>
      <c r="H9" s="64">
        <f>E9</f>
        <v>117850</v>
      </c>
    </row>
    <row r="10" spans="1:10" x14ac:dyDescent="0.2">
      <c r="A10" s="276" t="s">
        <v>270</v>
      </c>
      <c r="B10" s="284">
        <v>45849</v>
      </c>
      <c r="C10" s="278" t="s">
        <v>271</v>
      </c>
      <c r="D10" s="288"/>
      <c r="E10" s="279">
        <f t="shared" ref="E10:E21" si="0">E9+D10</f>
        <v>117850</v>
      </c>
      <c r="F10" s="280">
        <v>2927.8</v>
      </c>
      <c r="G10" s="281">
        <f t="shared" ref="G10:G21" si="1">G9+F10</f>
        <v>2927.8</v>
      </c>
      <c r="H10" s="281">
        <f t="shared" ref="H10:H21" si="2">H9-F10+D10</f>
        <v>114922.2</v>
      </c>
      <c r="I10" s="289">
        <v>154.1</v>
      </c>
      <c r="J10" s="282" t="s">
        <v>289</v>
      </c>
    </row>
    <row r="11" spans="1:10" x14ac:dyDescent="0.2">
      <c r="A11" s="59" t="s">
        <v>300</v>
      </c>
      <c r="B11" s="60">
        <v>45891</v>
      </c>
      <c r="C11" s="61" t="s">
        <v>291</v>
      </c>
      <c r="D11" s="204">
        <v>0</v>
      </c>
      <c r="E11" s="63">
        <f t="shared" si="0"/>
        <v>117850</v>
      </c>
      <c r="F11" s="207"/>
      <c r="G11" s="64">
        <f t="shared" si="1"/>
        <v>2927.8</v>
      </c>
      <c r="H11" s="64">
        <f t="shared" si="2"/>
        <v>114922.2</v>
      </c>
    </row>
    <row r="12" spans="1:10" x14ac:dyDescent="0.2">
      <c r="A12" s="59"/>
      <c r="B12" s="283"/>
      <c r="C12" s="61"/>
      <c r="D12" s="63"/>
      <c r="E12" s="63">
        <f t="shared" si="0"/>
        <v>117850</v>
      </c>
      <c r="F12" s="207"/>
      <c r="G12" s="64">
        <f t="shared" si="1"/>
        <v>2927.8</v>
      </c>
      <c r="H12" s="64">
        <f t="shared" si="2"/>
        <v>114922.2</v>
      </c>
    </row>
    <row r="13" spans="1:10" x14ac:dyDescent="0.2">
      <c r="A13" s="59"/>
      <c r="B13" s="60"/>
      <c r="C13" s="61"/>
      <c r="D13" s="63"/>
      <c r="E13" s="63">
        <f t="shared" si="0"/>
        <v>117850</v>
      </c>
      <c r="F13" s="207"/>
      <c r="G13" s="64">
        <f t="shared" si="1"/>
        <v>2927.8</v>
      </c>
      <c r="H13" s="64">
        <f t="shared" si="2"/>
        <v>114922.2</v>
      </c>
    </row>
    <row r="14" spans="1:10" x14ac:dyDescent="0.2">
      <c r="A14" s="59"/>
      <c r="B14" s="60"/>
      <c r="C14" s="61"/>
      <c r="D14" s="63"/>
      <c r="E14" s="63">
        <f t="shared" si="0"/>
        <v>117850</v>
      </c>
      <c r="F14" s="67"/>
      <c r="G14" s="64">
        <f t="shared" si="1"/>
        <v>2927.8</v>
      </c>
      <c r="H14" s="64">
        <f t="shared" si="2"/>
        <v>114922.2</v>
      </c>
    </row>
    <row r="15" spans="1:10" x14ac:dyDescent="0.2">
      <c r="A15" s="59"/>
      <c r="B15" s="60"/>
      <c r="C15" s="61"/>
      <c r="D15" s="63"/>
      <c r="E15" s="63">
        <f t="shared" si="0"/>
        <v>117850</v>
      </c>
      <c r="F15" s="67"/>
      <c r="G15" s="64">
        <f t="shared" si="1"/>
        <v>2927.8</v>
      </c>
      <c r="H15" s="64">
        <f t="shared" si="2"/>
        <v>114922.2</v>
      </c>
    </row>
    <row r="16" spans="1:10" x14ac:dyDescent="0.2">
      <c r="A16" s="59"/>
      <c r="B16" s="60"/>
      <c r="C16" s="61"/>
      <c r="D16" s="63"/>
      <c r="E16" s="63">
        <f t="shared" si="0"/>
        <v>117850</v>
      </c>
      <c r="F16" s="67"/>
      <c r="G16" s="64">
        <f t="shared" si="1"/>
        <v>2927.8</v>
      </c>
      <c r="H16" s="64">
        <f t="shared" si="2"/>
        <v>114922.2</v>
      </c>
    </row>
    <row r="17" spans="1:8" x14ac:dyDescent="0.2">
      <c r="A17" s="59"/>
      <c r="B17" s="60"/>
      <c r="C17" s="61"/>
      <c r="D17" s="63"/>
      <c r="E17" s="63">
        <f t="shared" si="0"/>
        <v>117850</v>
      </c>
      <c r="F17" s="67"/>
      <c r="G17" s="64">
        <f t="shared" si="1"/>
        <v>2927.8</v>
      </c>
      <c r="H17" s="64">
        <f t="shared" si="2"/>
        <v>114922.2</v>
      </c>
    </row>
    <row r="18" spans="1:8" x14ac:dyDescent="0.2">
      <c r="A18" s="59"/>
      <c r="B18" s="60"/>
      <c r="C18" s="61"/>
      <c r="D18" s="63"/>
      <c r="E18" s="63">
        <f t="shared" si="0"/>
        <v>117850</v>
      </c>
      <c r="F18" s="67"/>
      <c r="G18" s="64">
        <f t="shared" si="1"/>
        <v>2927.8</v>
      </c>
      <c r="H18" s="64">
        <f t="shared" si="2"/>
        <v>114922.2</v>
      </c>
    </row>
    <row r="19" spans="1:8" x14ac:dyDescent="0.2">
      <c r="A19" s="59"/>
      <c r="B19" s="60"/>
      <c r="C19" s="61"/>
      <c r="D19" s="63"/>
      <c r="E19" s="63">
        <f t="shared" si="0"/>
        <v>117850</v>
      </c>
      <c r="F19" s="64"/>
      <c r="G19" s="64">
        <f t="shared" si="1"/>
        <v>2927.8</v>
      </c>
      <c r="H19" s="64">
        <f t="shared" si="2"/>
        <v>114922.2</v>
      </c>
    </row>
    <row r="20" spans="1:8" x14ac:dyDescent="0.2">
      <c r="A20" s="59"/>
      <c r="B20" s="60"/>
      <c r="C20" s="61"/>
      <c r="D20" s="63"/>
      <c r="E20" s="63">
        <f t="shared" si="0"/>
        <v>117850</v>
      </c>
      <c r="F20" s="64"/>
      <c r="G20" s="64">
        <f t="shared" si="1"/>
        <v>2927.8</v>
      </c>
      <c r="H20" s="64">
        <f t="shared" si="2"/>
        <v>114922.2</v>
      </c>
    </row>
    <row r="21" spans="1:8" x14ac:dyDescent="0.2">
      <c r="A21" s="59"/>
      <c r="B21" s="60"/>
      <c r="C21" s="68"/>
      <c r="D21" s="63"/>
      <c r="E21" s="63">
        <f t="shared" si="0"/>
        <v>117850</v>
      </c>
      <c r="F21" s="64"/>
      <c r="G21" s="64">
        <f t="shared" si="1"/>
        <v>2927.8</v>
      </c>
      <c r="H21" s="64">
        <f t="shared" si="2"/>
        <v>114922.2</v>
      </c>
    </row>
    <row r="22" spans="1:8" x14ac:dyDescent="0.2">
      <c r="A22" s="59"/>
      <c r="B22" s="61"/>
      <c r="C22" s="69"/>
      <c r="D22" s="64"/>
      <c r="E22" s="64"/>
      <c r="F22" s="64"/>
      <c r="G22" s="64"/>
      <c r="H22" s="64"/>
    </row>
    <row r="23" spans="1:8" ht="13.5" thickBot="1" x14ac:dyDescent="0.25">
      <c r="A23" s="59"/>
      <c r="B23" s="70"/>
      <c r="C23" s="71" t="s">
        <v>28</v>
      </c>
      <c r="D23" s="72">
        <f>SUM(D9:D22)</f>
        <v>117850</v>
      </c>
      <c r="E23" s="72"/>
      <c r="F23" s="72">
        <f>SUM(F9:F22)</f>
        <v>2927.8</v>
      </c>
      <c r="G23" s="72"/>
      <c r="H23" s="72">
        <f>D23-F23</f>
        <v>114922.2</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f>'[1]#9440.00 Proctor Mechanical'!$D$23</f>
        <v>14650</v>
      </c>
      <c r="E26" s="64"/>
      <c r="F26" s="64">
        <f>'[1]#9440.00 Proctor Mechanical'!$F$23</f>
        <v>0</v>
      </c>
      <c r="G26" s="64"/>
      <c r="H26" s="64">
        <f>'[1]#9440.00 Proctor Mechanical'!$H$23</f>
        <v>14650</v>
      </c>
    </row>
    <row r="27" spans="1:8" ht="13.5" thickBot="1" x14ac:dyDescent="0.25">
      <c r="A27" s="73"/>
      <c r="B27" s="61"/>
      <c r="C27" s="96" t="s">
        <v>133</v>
      </c>
      <c r="D27" s="72">
        <f>SUM(D23+D26)</f>
        <v>132500</v>
      </c>
      <c r="E27" s="211"/>
      <c r="F27" s="72">
        <f>F23+F26</f>
        <v>2927.8</v>
      </c>
      <c r="G27" s="211"/>
      <c r="H27" s="72">
        <f>SUM(H23+H26)</f>
        <v>129572.2</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833D-3121-4BE6-98CB-7FE509633C2B}">
  <sheetPr>
    <pageSetUpPr fitToPage="1"/>
  </sheetPr>
  <dimension ref="A1:J569"/>
  <sheetViews>
    <sheetView zoomScaleNormal="100" workbookViewId="0">
      <selection activeCell="B12" sqref="B12"/>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42578125" style="65" customWidth="1"/>
    <col min="10" max="10" width="6.2851562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159</v>
      </c>
      <c r="B4" s="37"/>
      <c r="C4" s="38"/>
      <c r="D4" s="39" t="s">
        <v>160</v>
      </c>
      <c r="E4" s="40"/>
      <c r="F4" s="34"/>
      <c r="G4" s="34"/>
    </row>
    <row r="5" spans="1:10" s="35" customFormat="1" ht="15.75" x14ac:dyDescent="0.25">
      <c r="A5" s="41" t="s">
        <v>86</v>
      </c>
      <c r="B5" s="42"/>
      <c r="C5" s="43"/>
      <c r="D5" s="44" t="s">
        <v>233</v>
      </c>
      <c r="E5" s="45"/>
      <c r="F5" s="46"/>
      <c r="G5" s="47"/>
      <c r="H5" s="42"/>
    </row>
    <row r="6" spans="1:10" s="35" customFormat="1" ht="15.75" x14ac:dyDescent="0.25">
      <c r="A6" s="13" t="str">
        <f>'RECAP #9440.00'!B6</f>
        <v>Project Manager - Brad T.</v>
      </c>
      <c r="B6" s="11"/>
      <c r="C6" s="48"/>
      <c r="D6" s="49" t="s">
        <v>234</v>
      </c>
      <c r="E6" s="50"/>
      <c r="F6" s="51"/>
      <c r="G6" s="47"/>
      <c r="H6" s="42"/>
    </row>
    <row r="7" spans="1:10" s="35" customFormat="1" ht="15.75" x14ac:dyDescent="0.25">
      <c r="B7" s="52"/>
      <c r="C7" s="52"/>
      <c r="D7" s="35" t="s">
        <v>235</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74" t="s">
        <v>186</v>
      </c>
    </row>
    <row r="9" spans="1:10" x14ac:dyDescent="0.2">
      <c r="A9" s="59" t="s">
        <v>240</v>
      </c>
      <c r="B9" s="60">
        <v>45793</v>
      </c>
      <c r="C9" s="61" t="s">
        <v>88</v>
      </c>
      <c r="D9" s="204">
        <v>206604</v>
      </c>
      <c r="E9" s="63">
        <f>D9</f>
        <v>206604</v>
      </c>
      <c r="F9" s="64"/>
      <c r="G9" s="64"/>
      <c r="H9" s="64">
        <f>E9</f>
        <v>206604</v>
      </c>
    </row>
    <row r="10" spans="1:10" x14ac:dyDescent="0.2">
      <c r="A10" s="276" t="s">
        <v>264</v>
      </c>
      <c r="B10" s="284">
        <v>45841</v>
      </c>
      <c r="C10" s="278" t="s">
        <v>265</v>
      </c>
      <c r="D10" s="288"/>
      <c r="E10" s="279">
        <f t="shared" ref="E10:E21" si="0">E9+D10</f>
        <v>206604</v>
      </c>
      <c r="F10" s="280">
        <v>8866.82</v>
      </c>
      <c r="G10" s="281">
        <f t="shared" ref="G10:G21" si="1">G9+F10</f>
        <v>8866.82</v>
      </c>
      <c r="H10" s="281">
        <f t="shared" ref="H10:H21" si="2">H9-F10+D10</f>
        <v>197737.18</v>
      </c>
      <c r="I10" s="290">
        <f>466.68</f>
        <v>466.68</v>
      </c>
      <c r="J10" s="282" t="s">
        <v>289</v>
      </c>
    </row>
    <row r="11" spans="1:10" x14ac:dyDescent="0.2">
      <c r="A11" s="59" t="s">
        <v>301</v>
      </c>
      <c r="B11" s="60">
        <v>45891</v>
      </c>
      <c r="C11" s="61" t="s">
        <v>291</v>
      </c>
      <c r="D11" s="204">
        <v>0</v>
      </c>
      <c r="E11" s="63">
        <f t="shared" si="0"/>
        <v>206604</v>
      </c>
      <c r="F11" s="207"/>
      <c r="G11" s="64">
        <f t="shared" si="1"/>
        <v>8866.82</v>
      </c>
      <c r="H11" s="64">
        <f t="shared" si="2"/>
        <v>197737.18</v>
      </c>
      <c r="J11" s="286"/>
    </row>
    <row r="12" spans="1:10" x14ac:dyDescent="0.2">
      <c r="A12" s="59"/>
      <c r="B12" s="283"/>
      <c r="C12" s="61"/>
      <c r="D12" s="63"/>
      <c r="E12" s="63">
        <f t="shared" si="0"/>
        <v>206604</v>
      </c>
      <c r="F12" s="207"/>
      <c r="G12" s="64">
        <f t="shared" si="1"/>
        <v>8866.82</v>
      </c>
      <c r="H12" s="64">
        <f t="shared" si="2"/>
        <v>197737.18</v>
      </c>
    </row>
    <row r="13" spans="1:10" x14ac:dyDescent="0.2">
      <c r="A13" s="59"/>
      <c r="B13" s="60"/>
      <c r="C13" s="61"/>
      <c r="D13" s="63"/>
      <c r="E13" s="63">
        <f t="shared" si="0"/>
        <v>206604</v>
      </c>
      <c r="F13" s="207"/>
      <c r="G13" s="64">
        <f t="shared" si="1"/>
        <v>8866.82</v>
      </c>
      <c r="H13" s="64">
        <f t="shared" si="2"/>
        <v>197737.18</v>
      </c>
    </row>
    <row r="14" spans="1:10" x14ac:dyDescent="0.2">
      <c r="A14" s="59"/>
      <c r="B14" s="60"/>
      <c r="C14" s="61"/>
      <c r="D14" s="63"/>
      <c r="E14" s="63">
        <f t="shared" si="0"/>
        <v>206604</v>
      </c>
      <c r="F14" s="67"/>
      <c r="G14" s="64">
        <f t="shared" si="1"/>
        <v>8866.82</v>
      </c>
      <c r="H14" s="64">
        <f t="shared" si="2"/>
        <v>197737.18</v>
      </c>
    </row>
    <row r="15" spans="1:10" x14ac:dyDescent="0.2">
      <c r="A15" s="59"/>
      <c r="B15" s="60"/>
      <c r="C15" s="61"/>
      <c r="D15" s="63"/>
      <c r="E15" s="63">
        <f t="shared" si="0"/>
        <v>206604</v>
      </c>
      <c r="F15" s="67"/>
      <c r="G15" s="64">
        <f t="shared" si="1"/>
        <v>8866.82</v>
      </c>
      <c r="H15" s="64">
        <f t="shared" si="2"/>
        <v>197737.18</v>
      </c>
    </row>
    <row r="16" spans="1:10" x14ac:dyDescent="0.2">
      <c r="A16" s="59"/>
      <c r="B16" s="60"/>
      <c r="C16" s="61"/>
      <c r="D16" s="63"/>
      <c r="E16" s="63">
        <f t="shared" si="0"/>
        <v>206604</v>
      </c>
      <c r="F16" s="67"/>
      <c r="G16" s="64">
        <f t="shared" si="1"/>
        <v>8866.82</v>
      </c>
      <c r="H16" s="64">
        <f t="shared" si="2"/>
        <v>197737.18</v>
      </c>
    </row>
    <row r="17" spans="1:8" x14ac:dyDescent="0.2">
      <c r="A17" s="59"/>
      <c r="B17" s="60"/>
      <c r="C17" s="61"/>
      <c r="D17" s="63"/>
      <c r="E17" s="63">
        <f t="shared" si="0"/>
        <v>206604</v>
      </c>
      <c r="F17" s="67"/>
      <c r="G17" s="64">
        <f t="shared" si="1"/>
        <v>8866.82</v>
      </c>
      <c r="H17" s="64">
        <f t="shared" si="2"/>
        <v>197737.18</v>
      </c>
    </row>
    <row r="18" spans="1:8" x14ac:dyDescent="0.2">
      <c r="A18" s="59"/>
      <c r="B18" s="60"/>
      <c r="C18" s="61"/>
      <c r="D18" s="63"/>
      <c r="E18" s="63">
        <f t="shared" si="0"/>
        <v>206604</v>
      </c>
      <c r="F18" s="67"/>
      <c r="G18" s="64">
        <f t="shared" si="1"/>
        <v>8866.82</v>
      </c>
      <c r="H18" s="64">
        <f t="shared" si="2"/>
        <v>197737.18</v>
      </c>
    </row>
    <row r="19" spans="1:8" x14ac:dyDescent="0.2">
      <c r="A19" s="59"/>
      <c r="B19" s="60"/>
      <c r="C19" s="61"/>
      <c r="D19" s="63"/>
      <c r="E19" s="63">
        <f t="shared" si="0"/>
        <v>206604</v>
      </c>
      <c r="F19" s="64"/>
      <c r="G19" s="64">
        <f t="shared" si="1"/>
        <v>8866.82</v>
      </c>
      <c r="H19" s="64">
        <f t="shared" si="2"/>
        <v>197737.18</v>
      </c>
    </row>
    <row r="20" spans="1:8" x14ac:dyDescent="0.2">
      <c r="A20" s="59"/>
      <c r="B20" s="60"/>
      <c r="C20" s="61"/>
      <c r="D20" s="63"/>
      <c r="E20" s="63">
        <f t="shared" si="0"/>
        <v>206604</v>
      </c>
      <c r="F20" s="64"/>
      <c r="G20" s="64">
        <f t="shared" si="1"/>
        <v>8866.82</v>
      </c>
      <c r="H20" s="64">
        <f t="shared" si="2"/>
        <v>197737.18</v>
      </c>
    </row>
    <row r="21" spans="1:8" x14ac:dyDescent="0.2">
      <c r="A21" s="59"/>
      <c r="B21" s="60"/>
      <c r="C21" s="68"/>
      <c r="D21" s="63"/>
      <c r="E21" s="63">
        <f t="shared" si="0"/>
        <v>206604</v>
      </c>
      <c r="F21" s="64"/>
      <c r="G21" s="64">
        <f t="shared" si="1"/>
        <v>8866.82</v>
      </c>
      <c r="H21" s="64">
        <f t="shared" si="2"/>
        <v>197737.18</v>
      </c>
    </row>
    <row r="22" spans="1:8" x14ac:dyDescent="0.2">
      <c r="A22" s="59"/>
      <c r="B22" s="61"/>
      <c r="C22" s="69"/>
      <c r="D22" s="64"/>
      <c r="E22" s="64"/>
      <c r="F22" s="64"/>
      <c r="G22" s="64"/>
      <c r="H22" s="64"/>
    </row>
    <row r="23" spans="1:8" ht="13.5" thickBot="1" x14ac:dyDescent="0.25">
      <c r="A23" s="59"/>
      <c r="B23" s="70"/>
      <c r="C23" s="71" t="s">
        <v>28</v>
      </c>
      <c r="D23" s="72">
        <f>SUM(D9:D22)</f>
        <v>206604</v>
      </c>
      <c r="E23" s="72"/>
      <c r="F23" s="72">
        <f>SUM(F9:F22)</f>
        <v>8866.82</v>
      </c>
      <c r="G23" s="72"/>
      <c r="H23" s="72">
        <f>D23-F23</f>
        <v>197737.18</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f>'[1]#9440.00 Bergstrom Construction'!$D$23</f>
        <v>42753</v>
      </c>
      <c r="E26" s="64"/>
      <c r="F26" s="64">
        <f>'[1]#9440.00 Bergstrom Construction'!$F$23</f>
        <v>403.75</v>
      </c>
      <c r="G26" s="64"/>
      <c r="H26" s="64">
        <f>'[1]#9440.00 Bergstrom Construction'!$H$23</f>
        <v>42349.25</v>
      </c>
    </row>
    <row r="27" spans="1:8" ht="13.5" thickBot="1" x14ac:dyDescent="0.25">
      <c r="A27" s="73"/>
      <c r="B27" s="61"/>
      <c r="C27" s="96" t="s">
        <v>133</v>
      </c>
      <c r="D27" s="72">
        <f>SUM(D23+D26)</f>
        <v>249357</v>
      </c>
      <c r="E27" s="211"/>
      <c r="F27" s="72">
        <f>F23+F26</f>
        <v>9270.57</v>
      </c>
      <c r="G27" s="211"/>
      <c r="H27" s="72">
        <f>SUM(H23+H26)</f>
        <v>240086.43</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256" t="s">
        <v>266</v>
      </c>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705D-37F4-40ED-877D-A1DEC3CA6915}">
  <sheetPr>
    <pageSetUpPr fitToPage="1"/>
  </sheetPr>
  <dimension ref="A1:S569"/>
  <sheetViews>
    <sheetView zoomScaleNormal="100" workbookViewId="0">
      <selection activeCell="M25" sqref="M25"/>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 style="65" customWidth="1"/>
    <col min="10" max="10" width="6.5703125" style="65" customWidth="1"/>
    <col min="11" max="11" width="11.42578125" style="65"/>
    <col min="12" max="12" width="11.7109375" style="65" customWidth="1"/>
    <col min="13" max="20" width="5.5703125" style="65" customWidth="1"/>
    <col min="21" max="16384" width="11.42578125" style="65"/>
  </cols>
  <sheetData>
    <row r="1" spans="1:19" s="35" customFormat="1" ht="24.75" customHeight="1" x14ac:dyDescent="0.25">
      <c r="A1" s="2" t="str">
        <f>'RECAP #9440.00'!B1</f>
        <v>DAS CC Elevator Replacements</v>
      </c>
      <c r="B1" s="3"/>
      <c r="C1" s="4"/>
      <c r="D1" s="4"/>
      <c r="E1" s="4"/>
      <c r="F1" s="34"/>
      <c r="G1" s="34"/>
    </row>
    <row r="2" spans="1:19" s="35" customFormat="1" ht="15.75" x14ac:dyDescent="0.25">
      <c r="A2" s="6" t="str">
        <f>'RECAP #9440.00'!B2</f>
        <v>Project # 9440.00</v>
      </c>
      <c r="B2" s="5"/>
      <c r="C2" s="4"/>
      <c r="D2" s="4"/>
      <c r="E2" s="4"/>
      <c r="F2" s="34"/>
      <c r="G2" s="34"/>
    </row>
    <row r="3" spans="1:19" s="35" customFormat="1" ht="15.75" x14ac:dyDescent="0.25">
      <c r="A3" s="7" t="str">
        <f>'RECAP #9440.00'!B3</f>
        <v>Program code 944000</v>
      </c>
      <c r="B3" s="5"/>
      <c r="C3" s="4"/>
      <c r="D3" s="8" t="str">
        <f>'RECAP #9440.00'!E3</f>
        <v>Major Program 4D03</v>
      </c>
      <c r="E3" s="4"/>
      <c r="F3" s="34"/>
      <c r="G3" s="34"/>
    </row>
    <row r="4" spans="1:19" s="35" customFormat="1" ht="15.75" x14ac:dyDescent="0.25">
      <c r="A4" s="36" t="s">
        <v>245</v>
      </c>
      <c r="B4" s="37"/>
      <c r="C4" s="38"/>
      <c r="D4" s="39" t="s">
        <v>247</v>
      </c>
      <c r="E4" s="40"/>
      <c r="F4" s="34"/>
      <c r="G4" s="34"/>
    </row>
    <row r="5" spans="1:19" s="35" customFormat="1" ht="15.75" x14ac:dyDescent="0.25">
      <c r="A5" s="41" t="s">
        <v>86</v>
      </c>
      <c r="B5" s="42"/>
      <c r="C5" s="43"/>
      <c r="D5" s="44" t="s">
        <v>233</v>
      </c>
      <c r="E5" s="45"/>
      <c r="F5" s="46"/>
      <c r="G5" s="47"/>
      <c r="H5" s="42"/>
      <c r="M5" s="65"/>
      <c r="N5" s="65"/>
      <c r="O5" s="65"/>
    </row>
    <row r="6" spans="1:19" s="35" customFormat="1" ht="15.75" x14ac:dyDescent="0.25">
      <c r="A6" s="13" t="str">
        <f>'RECAP #9440.00'!B6</f>
        <v>Project Manager - Brad T.</v>
      </c>
      <c r="B6" s="11"/>
      <c r="C6" s="48"/>
      <c r="D6" s="49" t="s">
        <v>234</v>
      </c>
      <c r="E6" s="50"/>
      <c r="F6" s="51"/>
      <c r="G6" s="47"/>
      <c r="H6" s="42"/>
      <c r="M6" s="45"/>
      <c r="N6" s="45"/>
      <c r="O6" s="45"/>
      <c r="Q6" s="45"/>
      <c r="R6" s="298"/>
    </row>
    <row r="7" spans="1:19" s="35" customFormat="1" ht="15.75" x14ac:dyDescent="0.25">
      <c r="B7" s="52"/>
      <c r="C7" s="52"/>
      <c r="D7" s="35" t="s">
        <v>235</v>
      </c>
      <c r="E7" s="53"/>
      <c r="F7" s="54"/>
      <c r="G7" s="47"/>
      <c r="H7" s="42"/>
      <c r="I7" s="35" t="s">
        <v>5</v>
      </c>
      <c r="M7" s="64"/>
      <c r="N7" s="64"/>
      <c r="O7" s="64"/>
    </row>
    <row r="8" spans="1:19" s="35" customFormat="1" ht="32.25" thickBot="1" x14ac:dyDescent="0.3">
      <c r="A8" s="55" t="s">
        <v>20</v>
      </c>
      <c r="B8" s="56" t="s">
        <v>21</v>
      </c>
      <c r="C8" s="57" t="s">
        <v>22</v>
      </c>
      <c r="D8" s="58" t="s">
        <v>23</v>
      </c>
      <c r="E8" s="58" t="s">
        <v>24</v>
      </c>
      <c r="F8" s="58" t="s">
        <v>25</v>
      </c>
      <c r="G8" s="58" t="s">
        <v>26</v>
      </c>
      <c r="H8" s="58" t="s">
        <v>27</v>
      </c>
      <c r="I8" s="274" t="s">
        <v>186</v>
      </c>
      <c r="M8" s="64"/>
      <c r="N8" s="64"/>
      <c r="O8" s="64"/>
      <c r="Q8" s="64"/>
      <c r="R8" s="297"/>
      <c r="S8" s="64"/>
    </row>
    <row r="9" spans="1:19" x14ac:dyDescent="0.2">
      <c r="A9" s="59" t="s">
        <v>246</v>
      </c>
      <c r="B9" s="60">
        <v>45800</v>
      </c>
      <c r="C9" s="61" t="s">
        <v>88</v>
      </c>
      <c r="D9" s="204">
        <v>2693845</v>
      </c>
      <c r="E9" s="63">
        <f>D9</f>
        <v>2693845</v>
      </c>
      <c r="F9" s="64"/>
      <c r="G9" s="64"/>
      <c r="H9" s="64">
        <f>E9</f>
        <v>2693845</v>
      </c>
      <c r="M9" s="64"/>
      <c r="N9" s="64"/>
      <c r="O9" s="64"/>
      <c r="Q9" s="64"/>
      <c r="R9" s="221"/>
      <c r="S9" s="64"/>
    </row>
    <row r="10" spans="1:19" x14ac:dyDescent="0.2">
      <c r="A10" s="276" t="s">
        <v>278</v>
      </c>
      <c r="B10" s="284">
        <v>45853</v>
      </c>
      <c r="C10" s="278" t="s">
        <v>279</v>
      </c>
      <c r="D10" s="288"/>
      <c r="E10" s="279">
        <f t="shared" ref="E10:E21" si="0">E9+D10</f>
        <v>2693845</v>
      </c>
      <c r="F10" s="280">
        <v>123027.85</v>
      </c>
      <c r="G10" s="281">
        <f t="shared" ref="G10:G21" si="1">G9+F10</f>
        <v>123027.85</v>
      </c>
      <c r="H10" s="281">
        <f t="shared" ref="H10:H21" si="2">H9-F10+D10</f>
        <v>2570817.15</v>
      </c>
      <c r="I10" s="287">
        <v>6475.15</v>
      </c>
      <c r="J10" s="282" t="s">
        <v>289</v>
      </c>
      <c r="M10" s="67"/>
      <c r="N10" s="67"/>
      <c r="O10" s="67"/>
      <c r="Q10" s="221"/>
      <c r="R10" s="221"/>
      <c r="S10" s="221"/>
    </row>
    <row r="11" spans="1:19" x14ac:dyDescent="0.2">
      <c r="A11" s="59" t="s">
        <v>302</v>
      </c>
      <c r="B11" s="60">
        <v>45891</v>
      </c>
      <c r="C11" s="61" t="s">
        <v>291</v>
      </c>
      <c r="D11" s="204">
        <v>0</v>
      </c>
      <c r="E11" s="63">
        <f t="shared" si="0"/>
        <v>2693845</v>
      </c>
      <c r="F11" s="207"/>
      <c r="G11" s="201">
        <f t="shared" si="1"/>
        <v>123027.85</v>
      </c>
      <c r="H11" s="201">
        <f t="shared" si="2"/>
        <v>2570817.15</v>
      </c>
      <c r="M11" s="45"/>
      <c r="N11" s="45"/>
      <c r="O11" s="45"/>
      <c r="Q11" s="221"/>
      <c r="R11" s="221"/>
      <c r="S11" s="221"/>
    </row>
    <row r="12" spans="1:19" x14ac:dyDescent="0.2">
      <c r="A12" s="59" t="s">
        <v>348</v>
      </c>
      <c r="B12" s="60">
        <v>45950</v>
      </c>
      <c r="C12" s="61" t="s">
        <v>349</v>
      </c>
      <c r="D12" s="63"/>
      <c r="E12" s="63">
        <f t="shared" si="0"/>
        <v>2693845</v>
      </c>
      <c r="F12" s="207">
        <v>195318.57</v>
      </c>
      <c r="G12" s="201">
        <f t="shared" si="1"/>
        <v>318346.42000000004</v>
      </c>
      <c r="H12" s="201">
        <f t="shared" si="2"/>
        <v>2375498.58</v>
      </c>
      <c r="I12" s="273">
        <f>I10+10279.94</f>
        <v>16755.09</v>
      </c>
      <c r="M12" s="45"/>
      <c r="N12" s="45"/>
      <c r="O12" s="45"/>
      <c r="Q12" s="64"/>
    </row>
    <row r="13" spans="1:19" x14ac:dyDescent="0.2">
      <c r="A13" s="59"/>
      <c r="B13" s="60"/>
      <c r="C13" s="61"/>
      <c r="D13" s="63"/>
      <c r="E13" s="63">
        <f t="shared" si="0"/>
        <v>2693845</v>
      </c>
      <c r="F13" s="207"/>
      <c r="G13" s="201">
        <f t="shared" si="1"/>
        <v>318346.42000000004</v>
      </c>
      <c r="H13" s="201">
        <f t="shared" si="2"/>
        <v>2375498.58</v>
      </c>
      <c r="M13" s="64"/>
      <c r="N13" s="64"/>
      <c r="O13" s="64"/>
      <c r="P13" s="64"/>
      <c r="Q13" s="64"/>
    </row>
    <row r="14" spans="1:19" x14ac:dyDescent="0.2">
      <c r="A14" s="59"/>
      <c r="B14" s="60"/>
      <c r="C14" s="61"/>
      <c r="D14" s="63"/>
      <c r="E14" s="63">
        <f t="shared" si="0"/>
        <v>2693845</v>
      </c>
      <c r="F14" s="67"/>
      <c r="G14" s="201">
        <f t="shared" si="1"/>
        <v>318346.42000000004</v>
      </c>
      <c r="H14" s="201">
        <f t="shared" si="2"/>
        <v>2375498.58</v>
      </c>
      <c r="M14" s="64"/>
      <c r="N14" s="64"/>
      <c r="O14" s="64"/>
      <c r="P14" s="64"/>
      <c r="Q14" s="64"/>
    </row>
    <row r="15" spans="1:19" x14ac:dyDescent="0.2">
      <c r="A15" s="59"/>
      <c r="B15" s="60"/>
      <c r="C15" s="61"/>
      <c r="D15" s="63"/>
      <c r="E15" s="63">
        <f t="shared" si="0"/>
        <v>2693845</v>
      </c>
      <c r="F15" s="67"/>
      <c r="G15" s="201">
        <f t="shared" si="1"/>
        <v>318346.42000000004</v>
      </c>
      <c r="H15" s="201">
        <f t="shared" si="2"/>
        <v>2375498.58</v>
      </c>
      <c r="M15" s="67"/>
      <c r="N15" s="67"/>
      <c r="O15" s="67"/>
      <c r="P15" s="221"/>
      <c r="Q15" s="221"/>
    </row>
    <row r="16" spans="1:19" x14ac:dyDescent="0.2">
      <c r="A16" s="59"/>
      <c r="B16" s="60"/>
      <c r="C16" s="61"/>
      <c r="D16" s="63"/>
      <c r="E16" s="63">
        <f t="shared" si="0"/>
        <v>2693845</v>
      </c>
      <c r="F16" s="67"/>
      <c r="G16" s="201">
        <f t="shared" si="1"/>
        <v>318346.42000000004</v>
      </c>
      <c r="H16" s="201">
        <f t="shared" si="2"/>
        <v>2375498.58</v>
      </c>
      <c r="M16" s="64"/>
      <c r="N16" s="64"/>
      <c r="O16" s="64"/>
      <c r="P16" s="221"/>
    </row>
    <row r="17" spans="1:16" x14ac:dyDescent="0.2">
      <c r="A17" s="59"/>
      <c r="B17" s="60"/>
      <c r="C17" s="61"/>
      <c r="D17" s="63"/>
      <c r="E17" s="63">
        <f t="shared" si="0"/>
        <v>2693845</v>
      </c>
      <c r="F17" s="67"/>
      <c r="G17" s="201">
        <f t="shared" si="1"/>
        <v>318346.42000000004</v>
      </c>
      <c r="H17" s="201">
        <f t="shared" si="2"/>
        <v>2375498.58</v>
      </c>
      <c r="M17" s="64"/>
      <c r="N17" s="64"/>
      <c r="O17" s="64"/>
      <c r="P17" s="221"/>
    </row>
    <row r="18" spans="1:16" x14ac:dyDescent="0.2">
      <c r="A18" s="59"/>
      <c r="B18" s="60"/>
      <c r="C18" s="61"/>
      <c r="D18" s="63"/>
      <c r="E18" s="63">
        <f t="shared" si="0"/>
        <v>2693845</v>
      </c>
      <c r="F18" s="67"/>
      <c r="G18" s="201">
        <f t="shared" si="1"/>
        <v>318346.42000000004</v>
      </c>
      <c r="H18" s="201">
        <f t="shared" si="2"/>
        <v>2375498.58</v>
      </c>
      <c r="M18" s="64"/>
      <c r="N18" s="64"/>
      <c r="O18" s="64"/>
      <c r="P18" s="221"/>
    </row>
    <row r="19" spans="1:16" x14ac:dyDescent="0.2">
      <c r="A19" s="59"/>
      <c r="B19" s="60"/>
      <c r="C19" s="61"/>
      <c r="D19" s="63"/>
      <c r="E19" s="63">
        <f t="shared" si="0"/>
        <v>2693845</v>
      </c>
      <c r="F19" s="64"/>
      <c r="G19" s="201">
        <f t="shared" si="1"/>
        <v>318346.42000000004</v>
      </c>
      <c r="H19" s="201">
        <f t="shared" si="2"/>
        <v>2375498.58</v>
      </c>
      <c r="M19" s="64"/>
      <c r="N19" s="64"/>
      <c r="O19" s="64"/>
      <c r="P19" s="221"/>
    </row>
    <row r="20" spans="1:16" x14ac:dyDescent="0.2">
      <c r="A20" s="59"/>
      <c r="B20" s="60"/>
      <c r="C20" s="61"/>
      <c r="D20" s="63"/>
      <c r="E20" s="63">
        <f t="shared" si="0"/>
        <v>2693845</v>
      </c>
      <c r="F20" s="64"/>
      <c r="G20" s="201">
        <f t="shared" si="1"/>
        <v>318346.42000000004</v>
      </c>
      <c r="H20" s="201">
        <f t="shared" si="2"/>
        <v>2375498.58</v>
      </c>
      <c r="M20" s="64"/>
      <c r="N20" s="64"/>
      <c r="O20" s="64"/>
      <c r="P20" s="221"/>
    </row>
    <row r="21" spans="1:16" x14ac:dyDescent="0.2">
      <c r="A21" s="59"/>
      <c r="B21" s="60"/>
      <c r="C21" s="68"/>
      <c r="D21" s="63"/>
      <c r="E21" s="63">
        <f t="shared" si="0"/>
        <v>2693845</v>
      </c>
      <c r="F21" s="64"/>
      <c r="G21" s="201">
        <f t="shared" si="1"/>
        <v>318346.42000000004</v>
      </c>
      <c r="H21" s="201">
        <f t="shared" si="2"/>
        <v>2375498.58</v>
      </c>
      <c r="M21" s="64"/>
      <c r="N21" s="64"/>
      <c r="O21" s="64"/>
      <c r="P21" s="221"/>
    </row>
    <row r="22" spans="1:16" x14ac:dyDescent="0.2">
      <c r="A22" s="59"/>
      <c r="B22" s="61"/>
      <c r="C22" s="69"/>
      <c r="D22" s="64"/>
      <c r="E22" s="64"/>
      <c r="F22" s="64"/>
      <c r="G22" s="64"/>
      <c r="H22" s="64"/>
      <c r="M22" s="64"/>
      <c r="N22" s="64"/>
      <c r="O22" s="64"/>
      <c r="P22" s="221"/>
    </row>
    <row r="23" spans="1:16" ht="13.5" thickBot="1" x14ac:dyDescent="0.25">
      <c r="A23" s="59"/>
      <c r="B23" s="70"/>
      <c r="C23" s="71" t="s">
        <v>28</v>
      </c>
      <c r="D23" s="72">
        <f>SUM(D9:D22)</f>
        <v>2693845</v>
      </c>
      <c r="E23" s="72"/>
      <c r="F23" s="72">
        <f>SUM(F9:F22)</f>
        <v>318346.42000000004</v>
      </c>
      <c r="G23" s="72"/>
      <c r="H23" s="72">
        <f>D23-F23</f>
        <v>2375498.58</v>
      </c>
      <c r="M23" s="64"/>
      <c r="N23" s="64"/>
      <c r="O23" s="64"/>
      <c r="P23" s="221"/>
    </row>
    <row r="24" spans="1:16" ht="13.5" thickTop="1" x14ac:dyDescent="0.2">
      <c r="A24" s="73"/>
      <c r="B24" s="61"/>
      <c r="C24" s="69"/>
      <c r="D24" s="64"/>
      <c r="E24" s="64"/>
      <c r="F24" s="64"/>
      <c r="G24" s="64"/>
      <c r="H24" s="64"/>
      <c r="M24" s="45"/>
      <c r="N24" s="45"/>
      <c r="O24" s="45"/>
    </row>
    <row r="25" spans="1:16" x14ac:dyDescent="0.2">
      <c r="A25" s="73"/>
      <c r="B25" s="61"/>
      <c r="C25" s="69"/>
      <c r="D25" s="64"/>
      <c r="E25" s="64"/>
      <c r="F25" s="64"/>
      <c r="G25" s="64"/>
      <c r="H25" s="64"/>
      <c r="M25" s="45"/>
      <c r="N25" s="45"/>
      <c r="O25" s="45"/>
    </row>
    <row r="26" spans="1:16" x14ac:dyDescent="0.2">
      <c r="A26" s="73"/>
      <c r="B26" s="61"/>
      <c r="C26" s="69" t="s">
        <v>228</v>
      </c>
      <c r="D26" s="64">
        <f>'[1]#9440.00 Metro Elevator'!$D$23</f>
        <v>177650</v>
      </c>
      <c r="E26" s="64"/>
      <c r="F26" s="64">
        <f>'[1]#9440.00 Metro Elevator'!$F$23</f>
        <v>52075.5</v>
      </c>
      <c r="G26" s="64"/>
      <c r="H26" s="64">
        <f>'[1]#9440.00 Metro Elevator'!$H$23</f>
        <v>125574.5</v>
      </c>
      <c r="M26" s="45"/>
      <c r="N26" s="45"/>
      <c r="O26" s="45"/>
    </row>
    <row r="27" spans="1:16" ht="13.5" thickBot="1" x14ac:dyDescent="0.25">
      <c r="A27" s="73"/>
      <c r="B27" s="61"/>
      <c r="C27" s="96" t="s">
        <v>133</v>
      </c>
      <c r="D27" s="72">
        <f>SUM(D23+D26)</f>
        <v>2871495</v>
      </c>
      <c r="E27" s="211"/>
      <c r="F27" s="72">
        <f>F23+F26</f>
        <v>370421.92000000004</v>
      </c>
      <c r="G27" s="211"/>
      <c r="H27" s="72">
        <f>SUM(H23+H26)</f>
        <v>2501073.08</v>
      </c>
      <c r="M27" s="64"/>
      <c r="N27" s="45"/>
      <c r="O27" s="45"/>
    </row>
    <row r="28" spans="1:16" ht="13.5" thickTop="1" x14ac:dyDescent="0.2">
      <c r="A28" s="73"/>
      <c r="B28" s="61"/>
      <c r="C28" s="69"/>
      <c r="D28" s="64"/>
      <c r="E28" s="64"/>
      <c r="F28" s="64"/>
      <c r="G28" s="64"/>
      <c r="H28" s="64"/>
    </row>
    <row r="29" spans="1:16" x14ac:dyDescent="0.2">
      <c r="A29" s="73"/>
      <c r="B29" s="61"/>
      <c r="C29" s="69"/>
      <c r="D29" s="64"/>
      <c r="E29" s="64"/>
      <c r="F29" s="64"/>
      <c r="G29" s="64"/>
      <c r="H29" s="64"/>
    </row>
    <row r="30" spans="1:16" x14ac:dyDescent="0.2">
      <c r="A30" s="275" t="s">
        <v>280</v>
      </c>
      <c r="B30" s="61"/>
      <c r="C30" s="96"/>
      <c r="D30" s="45"/>
      <c r="E30" s="74"/>
      <c r="F30" s="75"/>
      <c r="G30" s="75"/>
      <c r="H30" s="45"/>
    </row>
    <row r="31" spans="1:16" x14ac:dyDescent="0.2">
      <c r="C31" s="69"/>
      <c r="D31" s="64"/>
      <c r="E31" s="64"/>
      <c r="F31" s="64"/>
      <c r="G31" s="64"/>
      <c r="H31" s="64"/>
    </row>
    <row r="32" spans="1:16"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5">
    <tabColor indexed="30"/>
    <pageSetUpPr fitToPage="1"/>
  </sheetPr>
  <dimension ref="A1:H24"/>
  <sheetViews>
    <sheetView zoomScaleNormal="100" workbookViewId="0">
      <selection activeCell="C48" sqref="C48"/>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0</v>
      </c>
      <c r="C1" s="3"/>
    </row>
    <row r="2" spans="1:8" ht="15.75" x14ac:dyDescent="0.25">
      <c r="B2" s="6" t="s">
        <v>1</v>
      </c>
    </row>
    <row r="3" spans="1:8" ht="15.75" x14ac:dyDescent="0.25">
      <c r="B3" s="7" t="s">
        <v>2</v>
      </c>
      <c r="E3" s="8" t="s">
        <v>3</v>
      </c>
    </row>
    <row r="4" spans="1:8" ht="15.75" x14ac:dyDescent="0.25">
      <c r="B4" s="9" t="s">
        <v>4</v>
      </c>
      <c r="C4" s="10" t="s">
        <v>5</v>
      </c>
    </row>
    <row r="5" spans="1:8" ht="15.75" x14ac:dyDescent="0.25">
      <c r="B5" s="11" t="s">
        <v>66</v>
      </c>
    </row>
    <row r="6" spans="1:8" s="17" customFormat="1" ht="15.75" x14ac:dyDescent="0.25">
      <c r="A6" s="12"/>
      <c r="B6" s="13" t="s">
        <v>6</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v>0</v>
      </c>
      <c r="D8" s="24"/>
      <c r="E8" s="24"/>
      <c r="F8" s="24"/>
      <c r="G8" s="25"/>
    </row>
    <row r="9" spans="1:8" x14ac:dyDescent="0.2">
      <c r="C9" s="26"/>
      <c r="D9" s="27"/>
      <c r="E9" s="27"/>
      <c r="F9" s="27"/>
      <c r="G9" s="25"/>
      <c r="H9" s="17"/>
    </row>
    <row r="10" spans="1:8" x14ac:dyDescent="0.2">
      <c r="B10" s="5" t="s">
        <v>13</v>
      </c>
      <c r="C10" s="26"/>
      <c r="D10" s="24">
        <f>'#XXXX.XX Vendor A'!D23</f>
        <v>0</v>
      </c>
      <c r="E10" s="24">
        <f>'#XXXX.XX Vendor A'!F23</f>
        <v>0</v>
      </c>
      <c r="F10" s="24">
        <f>'#XXXX.XX Vendor A'!H23</f>
        <v>0</v>
      </c>
      <c r="G10" s="25"/>
      <c r="H10" s="17"/>
    </row>
    <row r="11" spans="1:8" x14ac:dyDescent="0.2">
      <c r="B11" s="5" t="s">
        <v>14</v>
      </c>
      <c r="C11" s="26"/>
      <c r="D11" s="24">
        <f>'#XXXX.XX PM TIME'!E23</f>
        <v>0</v>
      </c>
      <c r="E11" s="24">
        <f>'#XXXX.XX PM TIME'!G23</f>
        <v>0</v>
      </c>
      <c r="F11" s="24">
        <f>'#XXXX.XX PM TIME'!I23</f>
        <v>0</v>
      </c>
      <c r="G11" s="25"/>
      <c r="H11" s="17"/>
    </row>
    <row r="12" spans="1:8" x14ac:dyDescent="0.2">
      <c r="B12" s="5" t="s">
        <v>15</v>
      </c>
      <c r="C12" s="27"/>
      <c r="D12" s="28">
        <f>'#XXXX.XX Misc'!G22</f>
        <v>0</v>
      </c>
      <c r="E12" s="28">
        <f>'#XXXX.XX Misc'!G22</f>
        <v>0</v>
      </c>
      <c r="F12" s="24">
        <f>D12-E12</f>
        <v>0</v>
      </c>
      <c r="G12" s="25"/>
      <c r="H12" s="17"/>
    </row>
    <row r="13" spans="1:8" s="17" customFormat="1" ht="13.35" customHeight="1" x14ac:dyDescent="0.2">
      <c r="A13" s="12"/>
      <c r="B13" s="5"/>
      <c r="C13" s="27"/>
      <c r="D13" s="28"/>
      <c r="E13" s="28"/>
      <c r="F13" s="24"/>
      <c r="G13" s="29"/>
    </row>
    <row r="14" spans="1:8" s="30" customFormat="1" ht="24" customHeight="1" thickBot="1" x14ac:dyDescent="0.3">
      <c r="B14" s="31" t="s">
        <v>16</v>
      </c>
      <c r="C14" s="32">
        <f>SUM(C8:C13)</f>
        <v>0</v>
      </c>
      <c r="D14" s="32">
        <f>SUM(D8:D13)</f>
        <v>0</v>
      </c>
      <c r="E14" s="32">
        <f>SUM(E8:E13)</f>
        <v>0</v>
      </c>
      <c r="F14" s="32">
        <f>SUM(D14-E14)</f>
        <v>0</v>
      </c>
      <c r="G14" s="32">
        <f>C8-D14</f>
        <v>0</v>
      </c>
    </row>
    <row r="15" spans="1:8" s="17" customFormat="1" ht="13.35" customHeight="1" thickTop="1" x14ac:dyDescent="0.2">
      <c r="A15" s="12"/>
      <c r="B15" s="5"/>
      <c r="C15" s="5"/>
      <c r="D15" s="29"/>
      <c r="E15" s="29"/>
      <c r="F15" s="29"/>
      <c r="G15" s="29"/>
    </row>
    <row r="16" spans="1:8" s="17" customFormat="1" ht="13.35" customHeight="1" x14ac:dyDescent="0.2">
      <c r="A16" s="12"/>
      <c r="B16" s="5"/>
      <c r="C16" s="5"/>
      <c r="D16" s="29"/>
      <c r="E16" s="29"/>
      <c r="F16" s="29"/>
      <c r="G16" s="29"/>
    </row>
    <row r="17" spans="1:7" s="17" customFormat="1" ht="13.35" customHeight="1" x14ac:dyDescent="0.2">
      <c r="A17" s="12"/>
      <c r="B17" s="5"/>
      <c r="C17" s="5"/>
      <c r="D17" s="29"/>
      <c r="E17" s="29"/>
      <c r="F17" s="29"/>
      <c r="G17" s="29"/>
    </row>
    <row r="18" spans="1:7" s="17" customFormat="1" ht="13.35" customHeight="1" x14ac:dyDescent="0.2">
      <c r="A18" s="12"/>
      <c r="B18" s="5"/>
      <c r="C18" s="5"/>
      <c r="D18" s="29"/>
      <c r="E18" s="29"/>
      <c r="F18" s="29"/>
      <c r="G18" s="29"/>
    </row>
    <row r="19" spans="1:7" s="17" customFormat="1" ht="13.35" customHeight="1" x14ac:dyDescent="0.2">
      <c r="A19" s="12"/>
      <c r="B19" s="5"/>
      <c r="C19" s="5"/>
      <c r="D19" s="29"/>
      <c r="E19" s="29"/>
      <c r="F19" s="29"/>
      <c r="G19" s="29"/>
    </row>
    <row r="20" spans="1:7" s="17" customFormat="1" ht="13.35" customHeight="1" x14ac:dyDescent="0.2">
      <c r="A20" s="12"/>
      <c r="B20" s="5"/>
      <c r="C20" s="5"/>
      <c r="D20" s="29"/>
      <c r="E20" s="29"/>
      <c r="F20" s="29"/>
      <c r="G20" s="29"/>
    </row>
    <row r="21" spans="1:7" s="17" customFormat="1" ht="13.35" customHeight="1" x14ac:dyDescent="0.2">
      <c r="A21" s="12"/>
      <c r="B21" s="5"/>
      <c r="C21" s="5"/>
      <c r="D21" s="29"/>
      <c r="E21" s="29"/>
      <c r="F21" s="29"/>
      <c r="G21" s="29"/>
    </row>
    <row r="22" spans="1:7" s="17" customFormat="1" ht="13.35" customHeight="1" x14ac:dyDescent="0.2">
      <c r="A22" s="12"/>
      <c r="B22" s="5"/>
      <c r="C22" s="5"/>
      <c r="D22" s="29"/>
      <c r="E22" s="29"/>
      <c r="F22" s="29"/>
      <c r="G22" s="29"/>
    </row>
    <row r="23" spans="1:7" x14ac:dyDescent="0.2">
      <c r="D23" s="33"/>
    </row>
    <row r="24" spans="1:7" x14ac:dyDescent="0.2">
      <c r="D24"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6">
    <tabColor rgb="FF0070C0"/>
    <pageSetUpPr fitToPage="1"/>
  </sheetPr>
  <dimension ref="A1:I627"/>
  <sheetViews>
    <sheetView zoomScaleNormal="100" workbookViewId="0">
      <selection activeCell="L28" sqref="L2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0.5703125" style="65" bestFit="1" customWidth="1"/>
    <col min="9" max="16384" width="11.42578125" style="65"/>
  </cols>
  <sheetData>
    <row r="1" spans="1:9" s="35" customFormat="1" ht="24.75" customHeight="1" x14ac:dyDescent="0.25">
      <c r="A1" s="2" t="str">
        <f>'RECAP #XXXX.XX'!B1</f>
        <v>xxx xxxxxxxxxxxxxxxxxxxxx</v>
      </c>
      <c r="B1" s="3"/>
      <c r="C1" s="4"/>
      <c r="D1" s="4"/>
      <c r="E1" s="4"/>
      <c r="F1" s="34"/>
      <c r="G1" s="34"/>
    </row>
    <row r="2" spans="1:9" s="35" customFormat="1" ht="15.75" x14ac:dyDescent="0.25">
      <c r="A2" s="6" t="str">
        <f>'RECAP #XXXX.XX'!B2</f>
        <v>Project # xxxx.xx</v>
      </c>
      <c r="B2" s="5"/>
      <c r="C2" s="4"/>
      <c r="D2" s="4"/>
      <c r="E2" s="4"/>
      <c r="F2" s="34"/>
      <c r="G2" s="34"/>
    </row>
    <row r="3" spans="1:9" s="35" customFormat="1" ht="15.75" x14ac:dyDescent="0.25">
      <c r="A3" s="7" t="str">
        <f>'RECAP #XXXX.XX'!B3</f>
        <v>Program code xxxxxx</v>
      </c>
      <c r="B3" s="5"/>
      <c r="C3" s="4"/>
      <c r="D3" s="8" t="str">
        <f>'RECAP #XXXX.XX'!E3</f>
        <v>Major Program xxxx</v>
      </c>
      <c r="E3" s="4"/>
      <c r="F3" s="34"/>
      <c r="G3" s="34"/>
    </row>
    <row r="4" spans="1:9" s="35" customFormat="1" ht="15.75" x14ac:dyDescent="0.25">
      <c r="A4" s="36" t="s">
        <v>17</v>
      </c>
      <c r="B4" s="37"/>
      <c r="C4" s="38"/>
      <c r="D4" s="39" t="s">
        <v>18</v>
      </c>
      <c r="E4" s="40"/>
      <c r="F4" s="34"/>
      <c r="G4" s="34"/>
    </row>
    <row r="5" spans="1:9" s="35" customFormat="1" ht="15.75" x14ac:dyDescent="0.25">
      <c r="A5" s="41" t="s">
        <v>67</v>
      </c>
      <c r="B5" s="42"/>
      <c r="C5" s="43"/>
      <c r="D5" s="44"/>
      <c r="E5" s="45"/>
      <c r="F5" s="46"/>
      <c r="G5" s="47"/>
      <c r="H5" s="42"/>
    </row>
    <row r="6" spans="1:9" s="35" customFormat="1" ht="15.75" x14ac:dyDescent="0.25">
      <c r="A6" s="13" t="str">
        <f>'RECAP #XXXX.XX'!B6</f>
        <v>Project Manager - xxxxxxxxxxxxxxxxxxx</v>
      </c>
      <c r="B6" s="11"/>
      <c r="C6" s="48"/>
      <c r="D6" s="49" t="s">
        <v>19</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c r="B9" s="60"/>
      <c r="C9" s="61"/>
      <c r="D9" s="62"/>
      <c r="E9" s="63">
        <f>D9</f>
        <v>0</v>
      </c>
      <c r="F9" s="64"/>
      <c r="G9" s="64"/>
      <c r="H9" s="64">
        <f>E9</f>
        <v>0</v>
      </c>
    </row>
    <row r="10" spans="1:9" x14ac:dyDescent="0.2">
      <c r="A10" s="59"/>
      <c r="B10" s="66"/>
      <c r="C10" s="61"/>
      <c r="D10" s="63"/>
      <c r="E10" s="63">
        <f t="shared" ref="E10:E21" si="0">E9+D10</f>
        <v>0</v>
      </c>
      <c r="F10" s="67"/>
      <c r="G10" s="64">
        <f t="shared" ref="G10:G21" si="1">G9+F10</f>
        <v>0</v>
      </c>
      <c r="H10" s="64">
        <f t="shared" ref="H10:H21" si="2">H9-F10+D10</f>
        <v>0</v>
      </c>
    </row>
    <row r="11" spans="1:9" x14ac:dyDescent="0.2">
      <c r="A11" s="59"/>
      <c r="B11" s="60"/>
      <c r="C11" s="61"/>
      <c r="D11" s="63"/>
      <c r="E11" s="63">
        <f t="shared" si="0"/>
        <v>0</v>
      </c>
      <c r="F11" s="67"/>
      <c r="G11" s="64">
        <f t="shared" si="1"/>
        <v>0</v>
      </c>
      <c r="H11" s="64">
        <f t="shared" si="2"/>
        <v>0</v>
      </c>
    </row>
    <row r="12" spans="1:9" x14ac:dyDescent="0.2">
      <c r="A12" s="59"/>
      <c r="B12" s="60"/>
      <c r="C12" s="61"/>
      <c r="D12" s="63"/>
      <c r="E12" s="63">
        <f t="shared" si="0"/>
        <v>0</v>
      </c>
      <c r="F12" s="67"/>
      <c r="G12" s="64">
        <f t="shared" si="1"/>
        <v>0</v>
      </c>
      <c r="H12" s="64">
        <f t="shared" si="2"/>
        <v>0</v>
      </c>
    </row>
    <row r="13" spans="1:9" x14ac:dyDescent="0.2">
      <c r="A13" s="59"/>
      <c r="B13" s="60"/>
      <c r="C13" s="61"/>
      <c r="D13" s="63"/>
      <c r="E13" s="63">
        <f t="shared" si="0"/>
        <v>0</v>
      </c>
      <c r="F13" s="67"/>
      <c r="G13" s="64">
        <f t="shared" si="1"/>
        <v>0</v>
      </c>
      <c r="H13" s="64">
        <f t="shared" si="2"/>
        <v>0</v>
      </c>
    </row>
    <row r="14" spans="1:9" x14ac:dyDescent="0.2">
      <c r="A14" s="59"/>
      <c r="B14" s="60"/>
      <c r="C14" s="61"/>
      <c r="D14" s="63"/>
      <c r="E14" s="63">
        <f t="shared" si="0"/>
        <v>0</v>
      </c>
      <c r="F14" s="64"/>
      <c r="G14" s="64">
        <f t="shared" si="1"/>
        <v>0</v>
      </c>
      <c r="H14" s="64">
        <f t="shared" si="2"/>
        <v>0</v>
      </c>
    </row>
    <row r="15" spans="1:9" x14ac:dyDescent="0.2">
      <c r="A15" s="59"/>
      <c r="B15" s="60"/>
      <c r="C15" s="61"/>
      <c r="D15" s="63"/>
      <c r="E15" s="63">
        <f t="shared" si="0"/>
        <v>0</v>
      </c>
      <c r="F15" s="67"/>
      <c r="G15" s="64">
        <f t="shared" si="1"/>
        <v>0</v>
      </c>
      <c r="H15" s="64">
        <f t="shared" si="2"/>
        <v>0</v>
      </c>
    </row>
    <row r="16" spans="1:9" x14ac:dyDescent="0.2">
      <c r="A16" s="59"/>
      <c r="B16" s="60"/>
      <c r="C16" s="61"/>
      <c r="D16" s="63"/>
      <c r="E16" s="63">
        <f t="shared" si="0"/>
        <v>0</v>
      </c>
      <c r="F16" s="67"/>
      <c r="G16" s="64">
        <f t="shared" si="1"/>
        <v>0</v>
      </c>
      <c r="H16" s="64">
        <f t="shared" si="2"/>
        <v>0</v>
      </c>
    </row>
    <row r="17" spans="1:8" x14ac:dyDescent="0.2">
      <c r="A17" s="59"/>
      <c r="B17" s="60"/>
      <c r="C17" s="61"/>
      <c r="D17" s="63"/>
      <c r="E17" s="63">
        <f t="shared" si="0"/>
        <v>0</v>
      </c>
      <c r="F17" s="67"/>
      <c r="G17" s="64">
        <f t="shared" si="1"/>
        <v>0</v>
      </c>
      <c r="H17" s="64">
        <f t="shared" si="2"/>
        <v>0</v>
      </c>
    </row>
    <row r="18" spans="1:8" x14ac:dyDescent="0.2">
      <c r="A18" s="59"/>
      <c r="B18" s="60"/>
      <c r="C18" s="61"/>
      <c r="D18" s="63"/>
      <c r="E18" s="63">
        <f t="shared" si="0"/>
        <v>0</v>
      </c>
      <c r="F18" s="67"/>
      <c r="G18" s="64">
        <f t="shared" si="1"/>
        <v>0</v>
      </c>
      <c r="H18" s="64">
        <f t="shared" si="2"/>
        <v>0</v>
      </c>
    </row>
    <row r="19" spans="1:8" x14ac:dyDescent="0.2">
      <c r="A19" s="59"/>
      <c r="B19" s="60"/>
      <c r="C19" s="61"/>
      <c r="D19" s="63"/>
      <c r="E19" s="63">
        <f t="shared" si="0"/>
        <v>0</v>
      </c>
      <c r="F19" s="64"/>
      <c r="G19" s="64">
        <f t="shared" si="1"/>
        <v>0</v>
      </c>
      <c r="H19" s="64">
        <f t="shared" si="2"/>
        <v>0</v>
      </c>
    </row>
    <row r="20" spans="1:8" x14ac:dyDescent="0.2">
      <c r="A20" s="59"/>
      <c r="B20" s="60"/>
      <c r="C20" s="61"/>
      <c r="D20" s="63"/>
      <c r="E20" s="63">
        <f t="shared" si="0"/>
        <v>0</v>
      </c>
      <c r="F20" s="64"/>
      <c r="G20" s="64">
        <f t="shared" si="1"/>
        <v>0</v>
      </c>
      <c r="H20" s="64">
        <f t="shared" si="2"/>
        <v>0</v>
      </c>
    </row>
    <row r="21" spans="1:8" x14ac:dyDescent="0.2">
      <c r="A21" s="59"/>
      <c r="B21" s="60"/>
      <c r="C21" s="68"/>
      <c r="D21" s="63"/>
      <c r="E21" s="63">
        <f t="shared" si="0"/>
        <v>0</v>
      </c>
      <c r="F21" s="64"/>
      <c r="G21" s="64">
        <f t="shared" si="1"/>
        <v>0</v>
      </c>
      <c r="H21" s="64">
        <f t="shared" si="2"/>
        <v>0</v>
      </c>
    </row>
    <row r="22" spans="1:8" x14ac:dyDescent="0.2">
      <c r="A22" s="59"/>
      <c r="B22" s="61"/>
      <c r="C22" s="69"/>
      <c r="D22" s="64"/>
      <c r="E22" s="64"/>
      <c r="F22" s="64"/>
      <c r="G22" s="64"/>
      <c r="H22" s="64"/>
    </row>
    <row r="23" spans="1:8" ht="13.5" thickBot="1" x14ac:dyDescent="0.25">
      <c r="A23" s="59"/>
      <c r="B23" s="70"/>
      <c r="C23" s="71" t="s">
        <v>28</v>
      </c>
      <c r="D23" s="72">
        <f>SUM(D9:D22)</f>
        <v>0</v>
      </c>
      <c r="E23" s="72"/>
      <c r="F23" s="72">
        <f>SUM(F9:F22)</f>
        <v>0</v>
      </c>
      <c r="G23" s="72"/>
      <c r="H23" s="72">
        <f>D23-F23</f>
        <v>0</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229</v>
      </c>
      <c r="D26" s="64"/>
      <c r="E26" s="64"/>
      <c r="F26" s="64"/>
      <c r="G26" s="64"/>
      <c r="H26" s="64">
        <f>D26-F26</f>
        <v>0</v>
      </c>
    </row>
    <row r="27" spans="1:8" x14ac:dyDescent="0.2">
      <c r="A27" s="73"/>
      <c r="B27" s="61"/>
      <c r="C27" s="69" t="s">
        <v>117</v>
      </c>
      <c r="D27" s="64"/>
      <c r="E27" s="64"/>
      <c r="F27" s="64"/>
      <c r="G27" s="64"/>
      <c r="H27" s="64">
        <f>D27-F27</f>
        <v>0</v>
      </c>
    </row>
    <row r="28" spans="1:8" ht="13.5" thickBot="1" x14ac:dyDescent="0.25">
      <c r="A28" s="73"/>
      <c r="B28" s="61"/>
      <c r="C28" s="96" t="s">
        <v>133</v>
      </c>
      <c r="D28" s="72">
        <f>SUM(D24:D27)</f>
        <v>0</v>
      </c>
      <c r="E28" s="211"/>
      <c r="F28" s="72">
        <f>SUM(F24:F27)</f>
        <v>0</v>
      </c>
      <c r="G28" s="211"/>
      <c r="H28" s="72">
        <f>SUM(H24:H27)</f>
        <v>0</v>
      </c>
    </row>
    <row r="29" spans="1:8" ht="13.5" thickTop="1" x14ac:dyDescent="0.2">
      <c r="A29" s="73"/>
      <c r="B29" s="61"/>
      <c r="C29" s="69"/>
      <c r="D29" s="64"/>
      <c r="E29" s="64"/>
      <c r="F29" s="64"/>
      <c r="G29" s="64"/>
      <c r="H29" s="64"/>
    </row>
    <row r="30" spans="1:8" x14ac:dyDescent="0.2">
      <c r="A30" s="73"/>
      <c r="B30" s="61"/>
      <c r="C30" s="69"/>
      <c r="D30" s="64"/>
      <c r="E30" s="64"/>
      <c r="F30" s="64"/>
      <c r="G30" s="64"/>
      <c r="H30" s="64"/>
    </row>
    <row r="31" spans="1:8" x14ac:dyDescent="0.2">
      <c r="A31" s="73"/>
      <c r="B31" s="61"/>
      <c r="C31" s="69"/>
      <c r="D31" s="64"/>
      <c r="E31" s="64"/>
      <c r="F31" s="64"/>
      <c r="G31" s="64"/>
      <c r="H31" s="64"/>
    </row>
    <row r="32" spans="1:8"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7">
    <tabColor indexed="30"/>
    <pageSetUpPr fitToPage="1"/>
  </sheetPr>
  <dimension ref="A1:J627"/>
  <sheetViews>
    <sheetView zoomScaleNormal="100" workbookViewId="0">
      <selection activeCell="C59" sqref="C59"/>
    </sheetView>
  </sheetViews>
  <sheetFormatPr defaultColWidth="11.42578125" defaultRowHeight="12.75" x14ac:dyDescent="0.2"/>
  <cols>
    <col min="1" max="1" width="24.5703125" style="76" customWidth="1"/>
    <col min="2" max="3" width="9.42578125" style="77" customWidth="1"/>
    <col min="4" max="4" width="25" style="78" bestFit="1" customWidth="1"/>
    <col min="5" max="5" width="12.5703125" style="65" customWidth="1"/>
    <col min="6" max="6" width="13.5703125" style="80" customWidth="1"/>
    <col min="7" max="7" width="12.42578125" style="80" customWidth="1"/>
    <col min="8" max="8" width="10.5703125" style="80" customWidth="1"/>
    <col min="9" max="9" width="10.5703125" style="65" bestFit="1" customWidth="1"/>
    <col min="10" max="16384" width="11.42578125" style="65"/>
  </cols>
  <sheetData>
    <row r="1" spans="1:10" s="35" customFormat="1" ht="24.75" customHeight="1" x14ac:dyDescent="0.25">
      <c r="A1" s="2" t="str">
        <f>'RECAP #XXXX.XX'!B1</f>
        <v>xxx xxxxxxxxxxxxxxxxxxxxx</v>
      </c>
      <c r="B1" s="3"/>
      <c r="C1" s="3"/>
      <c r="D1" s="4"/>
      <c r="E1" s="4"/>
      <c r="F1" s="4"/>
      <c r="G1" s="34"/>
      <c r="H1" s="34"/>
    </row>
    <row r="2" spans="1:10" s="35" customFormat="1" ht="15.75" x14ac:dyDescent="0.25">
      <c r="A2" s="6" t="str">
        <f>'RECAP #XXXX.XX'!B2</f>
        <v>Project # xxxx.xx</v>
      </c>
      <c r="B2" s="5"/>
      <c r="C2" s="5"/>
      <c r="D2" s="4"/>
      <c r="E2" s="4"/>
      <c r="F2" s="4"/>
      <c r="G2" s="34"/>
      <c r="H2" s="34"/>
    </row>
    <row r="3" spans="1:10" s="35" customFormat="1" ht="15.75" x14ac:dyDescent="0.25">
      <c r="A3" s="7" t="str">
        <f>'RECAP #XXXX.XX'!B3</f>
        <v>Program code xxxxxx</v>
      </c>
      <c r="B3" s="5"/>
      <c r="C3" s="5"/>
      <c r="D3" s="4"/>
      <c r="E3" s="8" t="str">
        <f>'RECAP #XXXX.XX'!E3</f>
        <v>Major Program xxxx</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30</v>
      </c>
      <c r="F6" s="50"/>
      <c r="G6" s="51"/>
      <c r="H6" s="47"/>
      <c r="I6" s="42"/>
    </row>
    <row r="7" spans="1:10" s="35" customFormat="1" ht="15.75" x14ac:dyDescent="0.25">
      <c r="A7" s="13" t="str">
        <f>'RECAP #XXXX.XX'!B6</f>
        <v>Project Manager - xxxxxxxxxxxxxxxxxxx</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62"/>
      <c r="F9" s="63">
        <f>E9</f>
        <v>0</v>
      </c>
      <c r="G9" s="64"/>
      <c r="H9" s="64"/>
      <c r="I9" s="64">
        <f>F9</f>
        <v>0</v>
      </c>
    </row>
    <row r="10" spans="1:10" x14ac:dyDescent="0.2">
      <c r="A10" s="84"/>
      <c r="B10" s="66"/>
      <c r="C10" s="66"/>
      <c r="D10" s="83"/>
      <c r="E10" s="63"/>
      <c r="F10" s="63">
        <f t="shared" ref="F10:F21" si="0">F9+E10</f>
        <v>0</v>
      </c>
      <c r="G10" s="67"/>
      <c r="H10" s="64">
        <f t="shared" ref="H10:H21" si="1">H9+G10</f>
        <v>0</v>
      </c>
      <c r="I10" s="64">
        <f t="shared" ref="I10:I21" si="2">I9-G10+E10</f>
        <v>0</v>
      </c>
    </row>
    <row r="11" spans="1:10" x14ac:dyDescent="0.2">
      <c r="A11" s="85"/>
      <c r="B11" s="60"/>
      <c r="C11" s="60"/>
      <c r="D11" s="83"/>
      <c r="E11" s="63"/>
      <c r="F11" s="63">
        <f t="shared" si="0"/>
        <v>0</v>
      </c>
      <c r="G11" s="67"/>
      <c r="H11" s="64">
        <f t="shared" si="1"/>
        <v>0</v>
      </c>
      <c r="I11" s="64">
        <f t="shared" si="2"/>
        <v>0</v>
      </c>
    </row>
    <row r="12" spans="1:10" x14ac:dyDescent="0.2">
      <c r="A12" s="85"/>
      <c r="B12" s="60"/>
      <c r="C12" s="60"/>
      <c r="D12" s="83"/>
      <c r="E12" s="63"/>
      <c r="F12" s="63">
        <f t="shared" si="0"/>
        <v>0</v>
      </c>
      <c r="G12" s="67"/>
      <c r="H12" s="64">
        <f t="shared" si="1"/>
        <v>0</v>
      </c>
      <c r="I12" s="64">
        <f t="shared" si="2"/>
        <v>0</v>
      </c>
    </row>
    <row r="13" spans="1:10" x14ac:dyDescent="0.2">
      <c r="A13" s="85"/>
      <c r="B13" s="60"/>
      <c r="C13" s="60"/>
      <c r="D13" s="83"/>
      <c r="E13" s="63"/>
      <c r="F13" s="63">
        <f t="shared" si="0"/>
        <v>0</v>
      </c>
      <c r="G13" s="67"/>
      <c r="H13" s="64">
        <f t="shared" si="1"/>
        <v>0</v>
      </c>
      <c r="I13" s="64">
        <f t="shared" si="2"/>
        <v>0</v>
      </c>
    </row>
    <row r="14" spans="1:10" x14ac:dyDescent="0.2">
      <c r="A14" s="85"/>
      <c r="B14" s="60"/>
      <c r="C14" s="60"/>
      <c r="D14" s="83"/>
      <c r="E14" s="63"/>
      <c r="F14" s="63">
        <f t="shared" si="0"/>
        <v>0</v>
      </c>
      <c r="G14" s="64"/>
      <c r="H14" s="64">
        <f t="shared" si="1"/>
        <v>0</v>
      </c>
      <c r="I14" s="64">
        <f t="shared" si="2"/>
        <v>0</v>
      </c>
    </row>
    <row r="15" spans="1:10" x14ac:dyDescent="0.2">
      <c r="A15" s="85"/>
      <c r="B15" s="60"/>
      <c r="C15" s="60"/>
      <c r="D15" s="83"/>
      <c r="E15" s="63"/>
      <c r="F15" s="63">
        <f t="shared" si="0"/>
        <v>0</v>
      </c>
      <c r="G15" s="67"/>
      <c r="H15" s="64">
        <f t="shared" si="1"/>
        <v>0</v>
      </c>
      <c r="I15" s="64">
        <f t="shared" si="2"/>
        <v>0</v>
      </c>
    </row>
    <row r="16" spans="1:10" x14ac:dyDescent="0.2">
      <c r="A16" s="85"/>
      <c r="B16" s="60"/>
      <c r="C16" s="60"/>
      <c r="D16" s="83"/>
      <c r="E16" s="63"/>
      <c r="F16" s="63">
        <f t="shared" si="0"/>
        <v>0</v>
      </c>
      <c r="G16" s="67"/>
      <c r="H16" s="64">
        <f t="shared" si="1"/>
        <v>0</v>
      </c>
      <c r="I16" s="64">
        <f t="shared" si="2"/>
        <v>0</v>
      </c>
    </row>
    <row r="17" spans="1:9" x14ac:dyDescent="0.2">
      <c r="A17" s="85"/>
      <c r="B17" s="60"/>
      <c r="C17" s="60"/>
      <c r="D17" s="83"/>
      <c r="E17" s="63"/>
      <c r="F17" s="63">
        <f t="shared" si="0"/>
        <v>0</v>
      </c>
      <c r="G17" s="67"/>
      <c r="H17" s="64">
        <f t="shared" si="1"/>
        <v>0</v>
      </c>
      <c r="I17" s="64">
        <f t="shared" si="2"/>
        <v>0</v>
      </c>
    </row>
    <row r="18" spans="1:9" x14ac:dyDescent="0.2">
      <c r="A18" s="85"/>
      <c r="B18" s="60"/>
      <c r="C18" s="60"/>
      <c r="D18" s="83"/>
      <c r="E18" s="63"/>
      <c r="F18" s="63">
        <f t="shared" si="0"/>
        <v>0</v>
      </c>
      <c r="G18" s="67"/>
      <c r="H18" s="64">
        <f t="shared" si="1"/>
        <v>0</v>
      </c>
      <c r="I18" s="64">
        <f t="shared" si="2"/>
        <v>0</v>
      </c>
    </row>
    <row r="19" spans="1:9" x14ac:dyDescent="0.2">
      <c r="A19" s="82"/>
      <c r="B19" s="60"/>
      <c r="C19" s="60"/>
      <c r="D19" s="83"/>
      <c r="E19" s="63"/>
      <c r="F19" s="63">
        <f t="shared" si="0"/>
        <v>0</v>
      </c>
      <c r="G19" s="64"/>
      <c r="H19" s="64">
        <f t="shared" si="1"/>
        <v>0</v>
      </c>
      <c r="I19" s="64">
        <f t="shared" si="2"/>
        <v>0</v>
      </c>
    </row>
    <row r="20" spans="1:9" x14ac:dyDescent="0.2">
      <c r="A20" s="82"/>
      <c r="B20" s="60"/>
      <c r="C20" s="60"/>
      <c r="D20" s="83"/>
      <c r="E20" s="63"/>
      <c r="F20" s="63">
        <f t="shared" si="0"/>
        <v>0</v>
      </c>
      <c r="G20" s="64"/>
      <c r="H20" s="64">
        <f t="shared" si="1"/>
        <v>0</v>
      </c>
      <c r="I20" s="64">
        <f t="shared" si="2"/>
        <v>0</v>
      </c>
    </row>
    <row r="21" spans="1:9" x14ac:dyDescent="0.2">
      <c r="A21" s="82"/>
      <c r="B21" s="60"/>
      <c r="C21" s="60"/>
      <c r="D21" s="86"/>
      <c r="E21" s="63"/>
      <c r="F21" s="63">
        <f t="shared" si="0"/>
        <v>0</v>
      </c>
      <c r="G21" s="64"/>
      <c r="H21" s="64">
        <f t="shared" si="1"/>
        <v>0</v>
      </c>
      <c r="I21" s="64">
        <f t="shared" si="2"/>
        <v>0</v>
      </c>
    </row>
    <row r="22" spans="1:9" x14ac:dyDescent="0.2">
      <c r="A22" s="73"/>
      <c r="B22" s="61"/>
      <c r="C22" s="61"/>
      <c r="D22" s="69"/>
      <c r="E22" s="64"/>
      <c r="F22" s="64"/>
      <c r="G22" s="64"/>
      <c r="H22" s="64"/>
      <c r="I22" s="64"/>
    </row>
    <row r="23" spans="1:9" ht="13.5" thickBot="1" x14ac:dyDescent="0.25">
      <c r="A23" s="73"/>
      <c r="B23" s="70"/>
      <c r="C23" s="70"/>
      <c r="D23" s="71" t="s">
        <v>28</v>
      </c>
      <c r="E23" s="72">
        <f>SUM(E9:E22)</f>
        <v>0</v>
      </c>
      <c r="F23" s="72"/>
      <c r="G23" s="72">
        <f>SUM(G9:G22)</f>
        <v>0</v>
      </c>
      <c r="H23" s="72"/>
      <c r="I23" s="72">
        <f>E23-G23</f>
        <v>0</v>
      </c>
    </row>
    <row r="24" spans="1:9" ht="13.5" thickTop="1" x14ac:dyDescent="0.2">
      <c r="A24" s="73"/>
      <c r="B24" s="61"/>
      <c r="C24" s="61"/>
      <c r="D24" s="69"/>
      <c r="E24" s="64"/>
      <c r="F24" s="64"/>
      <c r="G24" s="64"/>
      <c r="H24" s="64"/>
      <c r="I24" s="64"/>
    </row>
    <row r="25" spans="1:9" x14ac:dyDescent="0.2">
      <c r="A25" s="73"/>
      <c r="B25" s="61"/>
      <c r="C25" s="61"/>
      <c r="D25" s="69"/>
      <c r="E25" s="64"/>
      <c r="F25" s="64"/>
      <c r="G25" s="64"/>
      <c r="H25" s="64"/>
      <c r="I25" s="64"/>
    </row>
    <row r="26" spans="1:9" x14ac:dyDescent="0.2">
      <c r="A26" s="73"/>
      <c r="B26" s="61"/>
      <c r="C26" s="61"/>
      <c r="D26" s="69"/>
      <c r="E26" s="64"/>
      <c r="F26" s="64"/>
      <c r="G26" s="64"/>
      <c r="H26" s="64"/>
      <c r="I26" s="64"/>
    </row>
    <row r="27" spans="1:9" x14ac:dyDescent="0.2">
      <c r="A27" s="73"/>
      <c r="B27" s="61"/>
      <c r="C27" s="61"/>
      <c r="D27" s="69"/>
      <c r="E27" s="64"/>
      <c r="F27" s="64"/>
      <c r="G27" s="64"/>
      <c r="H27" s="64"/>
      <c r="I27" s="64"/>
    </row>
    <row r="28" spans="1:9" x14ac:dyDescent="0.2">
      <c r="A28" s="73"/>
      <c r="B28" s="61"/>
      <c r="C28" s="61"/>
      <c r="D28" s="69"/>
      <c r="E28" s="64"/>
      <c r="F28" s="64"/>
      <c r="G28" s="64"/>
      <c r="H28" s="64"/>
      <c r="I28" s="64"/>
    </row>
    <row r="29" spans="1:9" x14ac:dyDescent="0.2">
      <c r="A29" s="73"/>
      <c r="B29" s="61"/>
      <c r="C29" s="61"/>
      <c r="D29" s="69"/>
      <c r="E29" s="64"/>
      <c r="F29" s="64"/>
      <c r="G29" s="64"/>
      <c r="H29" s="64"/>
      <c r="I29" s="64"/>
    </row>
    <row r="30" spans="1:9" x14ac:dyDescent="0.2">
      <c r="A30" s="73"/>
      <c r="B30" s="61"/>
      <c r="C30" s="61"/>
      <c r="D30" s="69"/>
      <c r="E30" s="64"/>
      <c r="F30" s="64"/>
      <c r="G30" s="64"/>
      <c r="H30" s="64"/>
      <c r="I30" s="64"/>
    </row>
    <row r="31" spans="1:9" x14ac:dyDescent="0.2">
      <c r="A31" s="73"/>
      <c r="B31" s="61"/>
      <c r="C31" s="61"/>
      <c r="D31" s="69"/>
      <c r="E31" s="64"/>
      <c r="F31" s="64"/>
      <c r="G31" s="64"/>
      <c r="H31" s="64"/>
      <c r="I31" s="64"/>
    </row>
    <row r="32" spans="1:9" x14ac:dyDescent="0.2">
      <c r="A32" s="73"/>
      <c r="B32" s="61"/>
      <c r="C32" s="61"/>
      <c r="D32" s="69"/>
      <c r="E32" s="45"/>
      <c r="F32" s="74"/>
      <c r="G32" s="75"/>
      <c r="H32" s="75"/>
      <c r="I32" s="45"/>
    </row>
    <row r="33" spans="1:9" x14ac:dyDescent="0.2">
      <c r="A33" s="73"/>
      <c r="B33" s="61"/>
      <c r="C33" s="61"/>
      <c r="D33" s="69"/>
      <c r="E33" s="45"/>
      <c r="F33" s="74"/>
      <c r="G33" s="75"/>
      <c r="H33" s="75"/>
      <c r="I33" s="45"/>
    </row>
    <row r="34" spans="1:9" x14ac:dyDescent="0.2">
      <c r="A34" s="73"/>
      <c r="B34" s="61"/>
      <c r="C34" s="61"/>
      <c r="D34" s="69"/>
      <c r="E34" s="45"/>
      <c r="F34" s="74"/>
      <c r="G34" s="75"/>
      <c r="H34" s="75"/>
      <c r="I34" s="45"/>
    </row>
    <row r="35" spans="1:9" x14ac:dyDescent="0.2">
      <c r="A35" s="73"/>
      <c r="B35" s="61"/>
      <c r="C35" s="61"/>
      <c r="D35" s="69"/>
      <c r="E35" s="45"/>
      <c r="F35" s="74"/>
      <c r="G35" s="75"/>
      <c r="H35" s="75"/>
      <c r="I35" s="45"/>
    </row>
    <row r="36" spans="1:9" x14ac:dyDescent="0.2">
      <c r="A36" s="73"/>
      <c r="B36" s="61"/>
      <c r="C36" s="61"/>
      <c r="D36" s="69"/>
      <c r="E36" s="45"/>
      <c r="F36" s="74"/>
      <c r="G36" s="75"/>
      <c r="H36" s="75"/>
      <c r="I36" s="45"/>
    </row>
    <row r="37" spans="1:9" x14ac:dyDescent="0.2">
      <c r="A37" s="73"/>
      <c r="B37" s="61"/>
      <c r="C37" s="61"/>
      <c r="D37" s="69"/>
      <c r="E37" s="45"/>
      <c r="F37" s="74"/>
      <c r="G37" s="75"/>
      <c r="H37" s="75"/>
      <c r="I37" s="45"/>
    </row>
    <row r="38" spans="1:9" x14ac:dyDescent="0.2">
      <c r="A38" s="73"/>
      <c r="B38" s="61"/>
      <c r="C38" s="61"/>
      <c r="D38" s="69"/>
      <c r="E38" s="45"/>
      <c r="F38" s="74"/>
      <c r="G38" s="75"/>
      <c r="H38" s="75"/>
      <c r="I38" s="45"/>
    </row>
    <row r="39" spans="1:9" x14ac:dyDescent="0.2">
      <c r="A39" s="73"/>
      <c r="B39" s="61"/>
      <c r="C39" s="61"/>
      <c r="D39" s="69"/>
      <c r="E39" s="45"/>
      <c r="F39" s="74"/>
      <c r="G39" s="75"/>
      <c r="H39" s="75"/>
      <c r="I39" s="45"/>
    </row>
    <row r="40" spans="1:9" x14ac:dyDescent="0.2">
      <c r="A40" s="73"/>
      <c r="B40" s="61"/>
      <c r="C40" s="61"/>
      <c r="D40" s="69"/>
      <c r="E40" s="45"/>
      <c r="F40" s="74"/>
      <c r="G40" s="75"/>
      <c r="H40" s="75"/>
      <c r="I40" s="45"/>
    </row>
    <row r="41" spans="1:9" x14ac:dyDescent="0.2">
      <c r="A41" s="73"/>
      <c r="B41" s="61"/>
      <c r="C41" s="61"/>
      <c r="D41" s="69"/>
      <c r="E41" s="45"/>
      <c r="F41" s="74"/>
      <c r="G41" s="75"/>
      <c r="H41" s="75"/>
      <c r="I41" s="45"/>
    </row>
    <row r="42" spans="1:9" x14ac:dyDescent="0.2">
      <c r="F42" s="79"/>
    </row>
    <row r="43" spans="1:9" x14ac:dyDescent="0.2">
      <c r="F43" s="79"/>
    </row>
    <row r="44" spans="1:9" x14ac:dyDescent="0.2">
      <c r="F44" s="79"/>
    </row>
    <row r="45" spans="1:9" x14ac:dyDescent="0.2">
      <c r="F45" s="79"/>
    </row>
    <row r="46" spans="1:9" x14ac:dyDescent="0.2">
      <c r="F46" s="79"/>
    </row>
    <row r="47" spans="1:9" x14ac:dyDescent="0.2">
      <c r="F47" s="79"/>
    </row>
    <row r="48" spans="1:9" x14ac:dyDescent="0.2">
      <c r="F48" s="79"/>
    </row>
    <row r="49" spans="6:6" x14ac:dyDescent="0.2">
      <c r="F49" s="79"/>
    </row>
    <row r="50" spans="6:6" x14ac:dyDescent="0.2">
      <c r="F50" s="79"/>
    </row>
    <row r="51" spans="6:6" x14ac:dyDescent="0.2">
      <c r="F51" s="79"/>
    </row>
    <row r="52" spans="6:6" x14ac:dyDescent="0.2">
      <c r="F52" s="79"/>
    </row>
    <row r="53" spans="6:6" x14ac:dyDescent="0.2">
      <c r="F53" s="79"/>
    </row>
    <row r="54" spans="6:6" x14ac:dyDescent="0.2">
      <c r="F54" s="79"/>
    </row>
    <row r="55" spans="6:6" x14ac:dyDescent="0.2">
      <c r="F55" s="79"/>
    </row>
    <row r="56" spans="6:6" x14ac:dyDescent="0.2">
      <c r="F56" s="79"/>
    </row>
    <row r="57" spans="6:6" x14ac:dyDescent="0.2">
      <c r="F57" s="79"/>
    </row>
    <row r="58" spans="6:6" x14ac:dyDescent="0.2">
      <c r="F58" s="79"/>
    </row>
    <row r="59" spans="6:6" x14ac:dyDescent="0.2">
      <c r="F59" s="79"/>
    </row>
    <row r="60" spans="6:6" x14ac:dyDescent="0.2">
      <c r="F60" s="79"/>
    </row>
    <row r="61" spans="6:6" x14ac:dyDescent="0.2">
      <c r="F61" s="79"/>
    </row>
    <row r="62" spans="6:6" x14ac:dyDescent="0.2">
      <c r="F62" s="79"/>
    </row>
    <row r="63" spans="6:6" x14ac:dyDescent="0.2">
      <c r="F63" s="79"/>
    </row>
    <row r="64" spans="6:6"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sheetData>
  <pageMargins left="0.25" right="0.25" top="0.95" bottom="0.75" header="0.09" footer="0.3"/>
  <pageSetup scale="7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8">
    <tabColor indexed="30"/>
    <pageSetUpPr fitToPage="1"/>
  </sheetPr>
  <dimension ref="A1:AD41"/>
  <sheetViews>
    <sheetView zoomScaleNormal="100" workbookViewId="0">
      <selection activeCell="E7" sqref="E7"/>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19.42578125" style="45" customWidth="1"/>
    <col min="6" max="6" width="28" style="75" bestFit="1" customWidth="1"/>
    <col min="7" max="7" width="12.42578125" style="75" customWidth="1"/>
    <col min="8" max="8" width="15.42578125" style="75" customWidth="1"/>
    <col min="9" max="16384" width="11.42578125" style="45"/>
  </cols>
  <sheetData>
    <row r="1" spans="1:30" s="5" customFormat="1" ht="24.75" customHeight="1" x14ac:dyDescent="0.25">
      <c r="A1" s="2" t="str">
        <f>'RECAP #XXXX.XX'!B1</f>
        <v>xxx xxxxxxxxxxxxxxxxxxxxx</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#XXXX.XX'!B2</f>
        <v>Project # xxxx.xx</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#XXXX.XX'!B3</f>
        <v>Program code xxxxxx</v>
      </c>
      <c r="E3" s="8" t="str">
        <f>'RECAP #XXXX.XX'!E3</f>
        <v>Major Program xxxx</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350</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#XXXX.XX'!B6</f>
        <v>Project Manager - xxxxxxxxxxxxxxxxxxx</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c r="B9" s="60"/>
      <c r="C9" s="74"/>
      <c r="D9" s="74"/>
      <c r="E9" s="91"/>
      <c r="F9" s="92"/>
      <c r="H9" s="75">
        <f>G9</f>
        <v>0</v>
      </c>
    </row>
    <row r="10" spans="1:30" x14ac:dyDescent="0.2">
      <c r="A10" s="93"/>
      <c r="B10" s="60"/>
      <c r="F10" s="28"/>
      <c r="H10" s="75">
        <f>H9+G10</f>
        <v>0</v>
      </c>
    </row>
    <row r="11" spans="1:30" x14ac:dyDescent="0.2">
      <c r="A11" s="93"/>
      <c r="B11" s="60"/>
      <c r="C11" s="60"/>
      <c r="D11" s="60"/>
      <c r="F11" s="28"/>
      <c r="H11" s="75">
        <f t="shared" ref="H11:H20" si="0">H10+G11</f>
        <v>0</v>
      </c>
    </row>
    <row r="12" spans="1:30" x14ac:dyDescent="0.2">
      <c r="A12" s="93" t="s">
        <v>5</v>
      </c>
      <c r="B12" s="60" t="s">
        <v>5</v>
      </c>
      <c r="C12" s="60"/>
      <c r="D12" s="60"/>
      <c r="E12" s="45" t="s">
        <v>5</v>
      </c>
      <c r="F12" s="28"/>
      <c r="H12" s="75">
        <f t="shared" si="0"/>
        <v>0</v>
      </c>
    </row>
    <row r="13" spans="1:30" x14ac:dyDescent="0.2">
      <c r="A13" s="93" t="s">
        <v>5</v>
      </c>
      <c r="B13" s="60" t="s">
        <v>5</v>
      </c>
      <c r="C13" s="60"/>
      <c r="D13" s="60"/>
      <c r="E13" s="45" t="s">
        <v>5</v>
      </c>
      <c r="F13" s="28"/>
      <c r="H13" s="75">
        <f t="shared" si="0"/>
        <v>0</v>
      </c>
    </row>
    <row r="14" spans="1:30" x14ac:dyDescent="0.2">
      <c r="A14" s="93"/>
      <c r="B14" s="60"/>
      <c r="C14" s="60"/>
      <c r="D14" s="60"/>
      <c r="F14" s="28"/>
      <c r="H14" s="75">
        <f t="shared" si="0"/>
        <v>0</v>
      </c>
    </row>
    <row r="15" spans="1:30" x14ac:dyDescent="0.2">
      <c r="A15" s="93"/>
      <c r="B15" s="60"/>
      <c r="C15" s="60"/>
      <c r="D15" s="60"/>
      <c r="E15" s="94"/>
      <c r="F15" s="28"/>
      <c r="H15" s="75">
        <f t="shared" si="0"/>
        <v>0</v>
      </c>
    </row>
    <row r="16" spans="1:30" x14ac:dyDescent="0.2">
      <c r="A16" s="93"/>
      <c r="B16" s="60"/>
      <c r="C16" s="60"/>
      <c r="D16" s="60"/>
      <c r="F16" s="28"/>
      <c r="H16" s="75">
        <f t="shared" si="0"/>
        <v>0</v>
      </c>
    </row>
    <row r="17" spans="1:30" x14ac:dyDescent="0.2">
      <c r="B17" s="60"/>
      <c r="C17" s="60"/>
      <c r="D17" s="60"/>
      <c r="F17" s="28"/>
      <c r="H17" s="75">
        <f t="shared" si="0"/>
        <v>0</v>
      </c>
    </row>
    <row r="18" spans="1:30" x14ac:dyDescent="0.2">
      <c r="B18" s="60"/>
      <c r="C18" s="60"/>
      <c r="D18" s="60"/>
      <c r="F18" s="28"/>
      <c r="H18" s="75">
        <f t="shared" si="0"/>
        <v>0</v>
      </c>
    </row>
    <row r="19" spans="1:30" x14ac:dyDescent="0.2">
      <c r="B19" s="60"/>
      <c r="C19" s="60"/>
      <c r="D19" s="60"/>
      <c r="F19" s="28"/>
      <c r="H19" s="75">
        <f t="shared" si="0"/>
        <v>0</v>
      </c>
    </row>
    <row r="20" spans="1:30" x14ac:dyDescent="0.2">
      <c r="B20" s="60"/>
      <c r="C20" s="60"/>
      <c r="D20" s="60"/>
      <c r="F20" s="28"/>
      <c r="H20" s="75">
        <f t="shared" si="0"/>
        <v>0</v>
      </c>
    </row>
    <row r="21" spans="1:30" x14ac:dyDescent="0.2">
      <c r="G21" s="45"/>
    </row>
    <row r="22" spans="1:30" s="94" customFormat="1" ht="16.5" thickBot="1" x14ac:dyDescent="0.3">
      <c r="A22" s="95"/>
      <c r="B22" s="96"/>
      <c r="C22" s="96"/>
      <c r="D22" s="96"/>
      <c r="E22" s="97" t="s">
        <v>28</v>
      </c>
      <c r="F22" s="98"/>
      <c r="G22" s="72">
        <f>SUM(G9:G21)</f>
        <v>0</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
  <sheetViews>
    <sheetView zoomScaleNormal="100" workbookViewId="0">
      <selection activeCell="B26" sqref="B26"/>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71</v>
      </c>
      <c r="C1" s="3"/>
    </row>
    <row r="2" spans="1:8" ht="15.75" x14ac:dyDescent="0.25">
      <c r="B2" s="6" t="s">
        <v>73</v>
      </c>
    </row>
    <row r="3" spans="1:8" ht="15.75" x14ac:dyDescent="0.25">
      <c r="B3" s="7" t="s">
        <v>74</v>
      </c>
      <c r="E3" s="8" t="s">
        <v>76</v>
      </c>
    </row>
    <row r="4" spans="1:8" ht="15.75" x14ac:dyDescent="0.25">
      <c r="B4" s="9" t="s">
        <v>4</v>
      </c>
      <c r="C4" s="10" t="s">
        <v>5</v>
      </c>
    </row>
    <row r="5" spans="1:8" ht="15.75" x14ac:dyDescent="0.25">
      <c r="B5" s="11" t="s">
        <v>66</v>
      </c>
    </row>
    <row r="6" spans="1:8" s="17" customFormat="1" ht="15.75" x14ac:dyDescent="0.25">
      <c r="A6" s="12"/>
      <c r="B6" s="13" t="s">
        <v>75</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FINANCIAL!E15</f>
        <v>799500</v>
      </c>
      <c r="D8" s="24"/>
      <c r="E8" s="24"/>
      <c r="F8" s="24"/>
      <c r="G8" s="25"/>
    </row>
    <row r="9" spans="1:8" x14ac:dyDescent="0.2">
      <c r="C9" s="26"/>
      <c r="D9" s="27"/>
      <c r="E9" s="27"/>
      <c r="F9" s="27"/>
      <c r="G9" s="25"/>
      <c r="H9" s="17"/>
    </row>
    <row r="10" spans="1:8" x14ac:dyDescent="0.2">
      <c r="A10" s="263" t="s">
        <v>201</v>
      </c>
      <c r="B10" s="5" t="s">
        <v>85</v>
      </c>
      <c r="C10" s="26"/>
      <c r="D10" s="24">
        <f>'#9436.00 DCI Group'!D23</f>
        <v>23472.829999999998</v>
      </c>
      <c r="E10" s="24">
        <f>'#9436.00 DCI Group'!F23</f>
        <v>23472.83</v>
      </c>
      <c r="F10" s="24">
        <f>'#9436.00 DCI Group'!H23</f>
        <v>0</v>
      </c>
      <c r="G10" s="25"/>
      <c r="H10" s="17"/>
    </row>
    <row r="11" spans="1:8" x14ac:dyDescent="0.2">
      <c r="B11" s="5" t="s">
        <v>14</v>
      </c>
      <c r="C11" s="26"/>
      <c r="D11" s="24">
        <f>'#9436.00 PM TIME'!E40</f>
        <v>16000</v>
      </c>
      <c r="E11" s="24">
        <f>'#9436.00 PM TIME'!G40</f>
        <v>13288.390000000001</v>
      </c>
      <c r="F11" s="24">
        <f>'#9436.00 PM TIME'!I40</f>
        <v>2711.6099999999988</v>
      </c>
      <c r="G11" s="25"/>
      <c r="H11" s="17"/>
    </row>
    <row r="12" spans="1:8" x14ac:dyDescent="0.2">
      <c r="B12" s="5" t="s">
        <v>15</v>
      </c>
      <c r="C12" s="27"/>
      <c r="D12" s="28">
        <f>'#9436.00 Misc'!G22</f>
        <v>694</v>
      </c>
      <c r="E12" s="28">
        <f>'#9436.00 Misc'!G22</f>
        <v>694</v>
      </c>
      <c r="F12" s="24">
        <f>D12-E12</f>
        <v>0</v>
      </c>
      <c r="G12" s="25"/>
      <c r="H12" s="17"/>
    </row>
    <row r="13" spans="1:8" x14ac:dyDescent="0.2">
      <c r="B13" s="5" t="s">
        <v>93</v>
      </c>
      <c r="C13" s="27"/>
      <c r="D13" s="28">
        <f>'#9436.00 OPN Architects'!D25</f>
        <v>74850</v>
      </c>
      <c r="E13" s="28">
        <f>'#9436.00 OPN Architects'!F25</f>
        <v>71481.750000000015</v>
      </c>
      <c r="F13" s="24">
        <f>'#9436.00 OPN Architects'!H25</f>
        <v>3368.2499999999854</v>
      </c>
      <c r="G13" s="25"/>
      <c r="H13" s="17"/>
    </row>
    <row r="14" spans="1:8" x14ac:dyDescent="0.2">
      <c r="B14" s="5" t="s">
        <v>159</v>
      </c>
      <c r="C14" s="27"/>
      <c r="D14" s="28">
        <f>'#9436.00 Bergstrom Construction'!D23</f>
        <v>29800</v>
      </c>
      <c r="E14" s="28">
        <f>'#9436.00 Bergstrom Construction'!F23</f>
        <v>14533.81</v>
      </c>
      <c r="F14" s="24">
        <f>'#9436.00 Bergstrom Construction'!H23</f>
        <v>15266.19</v>
      </c>
      <c r="G14" s="25"/>
      <c r="H14" s="17"/>
    </row>
    <row r="15" spans="1:8" x14ac:dyDescent="0.2">
      <c r="B15" s="5" t="s">
        <v>165</v>
      </c>
      <c r="C15" s="27"/>
      <c r="D15" s="28">
        <f>'#9436.00 Schumacher Elevator'!D23</f>
        <v>287674</v>
      </c>
      <c r="E15" s="28">
        <f>'#9436.00 Schumacher Elevator'!F23</f>
        <v>166865.60000000001</v>
      </c>
      <c r="F15" s="24">
        <f>'#9436.00 Schumacher Elevator'!H23</f>
        <v>120808.4</v>
      </c>
      <c r="G15" s="25"/>
      <c r="H15" s="17"/>
    </row>
    <row r="16" spans="1:8" x14ac:dyDescent="0.2">
      <c r="B16" s="5" t="s">
        <v>168</v>
      </c>
      <c r="C16" s="27"/>
      <c r="D16" s="28">
        <f>'#9436.00 All Iowa Mechanical'!D23</f>
        <v>24600</v>
      </c>
      <c r="E16" s="28">
        <f>'#9436.00 All Iowa Mechanical'!F23</f>
        <v>15489.75</v>
      </c>
      <c r="F16" s="24">
        <f>'#9436.00 All Iowa Mechanical'!H23</f>
        <v>9110.25</v>
      </c>
      <c r="G16" s="25"/>
      <c r="H16" s="17"/>
    </row>
    <row r="17" spans="1:8" x14ac:dyDescent="0.2">
      <c r="B17" s="5" t="s">
        <v>171</v>
      </c>
      <c r="C17" s="27"/>
      <c r="D17" s="28">
        <f>'#9436.00 Air Con Electric'!D23</f>
        <v>39998</v>
      </c>
      <c r="E17" s="28">
        <f>'#9436.00 Air Con Electric'!F23</f>
        <v>24302.33</v>
      </c>
      <c r="F17" s="24">
        <f>'#9436.00 Air Con Electric'!H23</f>
        <v>15695.669999999998</v>
      </c>
      <c r="G17" s="25"/>
      <c r="H17" s="17"/>
    </row>
    <row r="18" spans="1:8" x14ac:dyDescent="0.2">
      <c r="B18" s="5" t="s">
        <v>192</v>
      </c>
      <c r="C18" s="27"/>
      <c r="D18" s="28">
        <f>'#9436.00 DCI Group (2)'!D23</f>
        <v>128545.99</v>
      </c>
      <c r="E18" s="28">
        <f>'#9436.00 DCI Group (2)'!F23</f>
        <v>80808.800000000003</v>
      </c>
      <c r="F18" s="24">
        <f>'#9436.00 DCI Group (2)'!H23</f>
        <v>47737.19</v>
      </c>
      <c r="G18" s="25"/>
      <c r="H18" s="17"/>
    </row>
    <row r="19" spans="1:8" x14ac:dyDescent="0.2">
      <c r="A19" s="263" t="s">
        <v>201</v>
      </c>
      <c r="B19" s="5" t="s">
        <v>211</v>
      </c>
      <c r="C19" s="27"/>
      <c r="D19" s="28">
        <f>'#9436.00 Johnson Controls'!D23</f>
        <v>0</v>
      </c>
      <c r="E19" s="28">
        <f>'#9436.00 Johnson Controls'!F23</f>
        <v>0</v>
      </c>
      <c r="F19" s="24">
        <f>'#9436.00 Johnson Controls'!H23</f>
        <v>0</v>
      </c>
      <c r="G19" s="25"/>
      <c r="H19" s="17"/>
    </row>
    <row r="20" spans="1:8" x14ac:dyDescent="0.2">
      <c r="B20" s="5" t="s">
        <v>241</v>
      </c>
      <c r="C20" s="27"/>
      <c r="D20" s="28">
        <f>'#9436.00 Johnson Controls (2)'!D23</f>
        <v>116731.47</v>
      </c>
      <c r="E20" s="28">
        <f>'#9436.00 Johnson Controls (2)'!F23</f>
        <v>5956.44</v>
      </c>
      <c r="F20" s="24">
        <f>'#9436.00 Johnson Controls (2)'!H23</f>
        <v>110775.03</v>
      </c>
      <c r="G20" s="25"/>
      <c r="H20" s="17"/>
    </row>
    <row r="21" spans="1:8" s="17" customFormat="1" ht="13.35" customHeight="1" x14ac:dyDescent="0.2">
      <c r="A21" s="12"/>
      <c r="B21" s="5"/>
      <c r="C21" s="27"/>
      <c r="D21" s="28"/>
      <c r="E21" s="28"/>
      <c r="F21" s="24"/>
      <c r="G21" s="29"/>
    </row>
    <row r="22" spans="1:8" s="30" customFormat="1" ht="24" customHeight="1" thickBot="1" x14ac:dyDescent="0.3">
      <c r="B22" s="31" t="s">
        <v>16</v>
      </c>
      <c r="C22" s="32">
        <f>SUM(C8:C21)</f>
        <v>799500</v>
      </c>
      <c r="D22" s="32">
        <f>SUM(D8:D21)</f>
        <v>742366.29</v>
      </c>
      <c r="E22" s="32">
        <f>SUM(E8:E21)</f>
        <v>416893.7</v>
      </c>
      <c r="F22" s="32">
        <f>SUM(D22-E22)</f>
        <v>325472.59000000003</v>
      </c>
      <c r="G22" s="32">
        <f>C8-D22</f>
        <v>57133.709999999963</v>
      </c>
    </row>
    <row r="23" spans="1:8" s="17" customFormat="1" ht="13.35" customHeight="1" thickTop="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s="17" customFormat="1" ht="13.35" customHeight="1" x14ac:dyDescent="0.2">
      <c r="A29" s="12"/>
      <c r="B29" s="5"/>
      <c r="C29" s="5"/>
      <c r="D29" s="29"/>
      <c r="E29" s="29"/>
      <c r="F29" s="29"/>
      <c r="G29" s="29"/>
    </row>
    <row r="30" spans="1:8" s="17" customFormat="1" ht="13.35" customHeight="1" x14ac:dyDescent="0.2">
      <c r="A30" s="12"/>
      <c r="B30" s="5"/>
      <c r="C30" s="5"/>
      <c r="D30" s="29"/>
      <c r="E30" s="29"/>
      <c r="F30" s="29"/>
      <c r="G30" s="29"/>
    </row>
    <row r="31" spans="1:8" x14ac:dyDescent="0.2">
      <c r="D31" s="33"/>
    </row>
    <row r="32" spans="1:8" x14ac:dyDescent="0.2">
      <c r="D32"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J627"/>
  <sheetViews>
    <sheetView zoomScaleNormal="100" workbookViewId="0">
      <selection activeCell="N20" sqref="N20"/>
    </sheetView>
  </sheetViews>
  <sheetFormatPr defaultColWidth="11.42578125" defaultRowHeight="12.75" x14ac:dyDescent="0.2"/>
  <cols>
    <col min="1" max="1" width="24.5703125" style="256" customWidth="1"/>
    <col min="2" max="2" width="9.42578125" style="244" customWidth="1"/>
    <col min="3" max="3" width="25" style="252" bestFit="1" customWidth="1"/>
    <col min="4" max="4" width="14.42578125" style="50" customWidth="1"/>
    <col min="5" max="5" width="13.5703125" style="262" customWidth="1"/>
    <col min="6" max="6" width="12.42578125" style="262" customWidth="1"/>
    <col min="7" max="7" width="10.5703125" style="262" customWidth="1"/>
    <col min="8" max="8" width="12.42578125" style="50" customWidth="1"/>
    <col min="9" max="16384" width="11.42578125" style="50"/>
  </cols>
  <sheetData>
    <row r="1" spans="1:9" s="225" customFormat="1" ht="24.75" customHeight="1" x14ac:dyDescent="0.25">
      <c r="A1" s="36" t="str">
        <f>'RECAP #9436.00'!B1</f>
        <v>DAS TH Residence Elevator Replacement</v>
      </c>
      <c r="B1" s="36"/>
      <c r="C1" s="223"/>
      <c r="D1" s="223"/>
      <c r="E1" s="223"/>
      <c r="F1" s="224"/>
      <c r="G1" s="224"/>
    </row>
    <row r="2" spans="1:9" s="225" customFormat="1" ht="15.75" x14ac:dyDescent="0.25">
      <c r="A2" s="226" t="str">
        <f>'RECAP #9436.00'!B2</f>
        <v>Project # 9436.00</v>
      </c>
      <c r="B2" s="227"/>
      <c r="C2" s="223"/>
      <c r="D2" s="223"/>
      <c r="E2" s="223"/>
      <c r="F2" s="224"/>
      <c r="G2" s="224"/>
    </row>
    <row r="3" spans="1:9" s="225" customFormat="1" ht="15.75" x14ac:dyDescent="0.25">
      <c r="A3" s="228" t="str">
        <f>'RECAP #9436.00'!B3</f>
        <v>Program code 943600</v>
      </c>
      <c r="B3" s="227"/>
      <c r="C3" s="223"/>
      <c r="D3" s="229" t="str">
        <f>'RECAP #9436.00'!E3</f>
        <v>Major Program 4D03</v>
      </c>
      <c r="E3" s="223"/>
      <c r="F3" s="224"/>
      <c r="G3" s="224"/>
    </row>
    <row r="4" spans="1:9" s="225" customFormat="1" ht="15.75" x14ac:dyDescent="0.25">
      <c r="A4" s="36" t="s">
        <v>85</v>
      </c>
      <c r="B4" s="37"/>
      <c r="D4" s="230" t="s">
        <v>89</v>
      </c>
      <c r="E4" s="231"/>
      <c r="F4" s="224"/>
      <c r="G4" s="224"/>
    </row>
    <row r="5" spans="1:9" s="225" customFormat="1" ht="15.75" x14ac:dyDescent="0.25">
      <c r="A5" s="232" t="s">
        <v>86</v>
      </c>
      <c r="C5" s="233"/>
      <c r="D5" s="44" t="s">
        <v>90</v>
      </c>
      <c r="E5" s="50"/>
      <c r="F5" s="234"/>
      <c r="G5" s="224"/>
    </row>
    <row r="6" spans="1:9" s="225" customFormat="1" ht="15.75" x14ac:dyDescent="0.25">
      <c r="A6" s="235" t="str">
        <f>'RECAP #9436.00'!B6</f>
        <v>Project Manager - James T.</v>
      </c>
      <c r="B6" s="37"/>
      <c r="C6" s="236"/>
      <c r="D6" s="237" t="s">
        <v>91</v>
      </c>
      <c r="E6" s="50"/>
      <c r="F6" s="51"/>
      <c r="G6" s="224"/>
    </row>
    <row r="7" spans="1:9" s="225" customFormat="1" ht="15.75" x14ac:dyDescent="0.25">
      <c r="B7" s="238"/>
      <c r="C7" s="238"/>
      <c r="E7" s="53"/>
      <c r="F7" s="54"/>
      <c r="G7" s="224"/>
      <c r="I7" s="225" t="s">
        <v>5</v>
      </c>
    </row>
    <row r="8" spans="1:9" s="225" customFormat="1" ht="32.25" thickBot="1" x14ac:dyDescent="0.3">
      <c r="A8" s="239" t="s">
        <v>20</v>
      </c>
      <c r="B8" s="240" t="s">
        <v>21</v>
      </c>
      <c r="C8" s="241" t="s">
        <v>22</v>
      </c>
      <c r="D8" s="220" t="s">
        <v>23</v>
      </c>
      <c r="E8" s="220" t="s">
        <v>24</v>
      </c>
      <c r="F8" s="220" t="s">
        <v>25</v>
      </c>
      <c r="G8" s="220" t="s">
        <v>26</v>
      </c>
      <c r="H8" s="220" t="s">
        <v>27</v>
      </c>
      <c r="I8" s="225" t="s">
        <v>5</v>
      </c>
    </row>
    <row r="9" spans="1:9" x14ac:dyDescent="0.2">
      <c r="A9" s="242" t="s">
        <v>87</v>
      </c>
      <c r="B9" s="243">
        <v>45548</v>
      </c>
      <c r="C9" s="244" t="s">
        <v>88</v>
      </c>
      <c r="D9" s="245">
        <v>19937.169999999998</v>
      </c>
      <c r="E9" s="246">
        <f>D9</f>
        <v>19937.169999999998</v>
      </c>
      <c r="F9" s="247"/>
      <c r="G9" s="247"/>
      <c r="H9" s="247">
        <f>E9</f>
        <v>19937.169999999998</v>
      </c>
    </row>
    <row r="10" spans="1:9" x14ac:dyDescent="0.2">
      <c r="A10" s="242" t="s">
        <v>99</v>
      </c>
      <c r="B10" s="248">
        <v>45590</v>
      </c>
      <c r="C10" s="244" t="s">
        <v>100</v>
      </c>
      <c r="D10" s="246"/>
      <c r="E10" s="246">
        <f t="shared" ref="E10:E21" si="0">E9+D10</f>
        <v>19937.169999999998</v>
      </c>
      <c r="F10" s="249">
        <v>2847.46</v>
      </c>
      <c r="G10" s="247">
        <f t="shared" ref="G10:G21" si="1">G9+F10</f>
        <v>2847.46</v>
      </c>
      <c r="H10" s="247">
        <f t="shared" ref="H10:H21" si="2">H9-F10+D10</f>
        <v>17089.71</v>
      </c>
    </row>
    <row r="11" spans="1:9" x14ac:dyDescent="0.2">
      <c r="A11" s="242" t="s">
        <v>106</v>
      </c>
      <c r="B11" s="243">
        <v>45618</v>
      </c>
      <c r="C11" s="244" t="s">
        <v>107</v>
      </c>
      <c r="D11" s="246"/>
      <c r="E11" s="246">
        <f t="shared" si="0"/>
        <v>19937.169999999998</v>
      </c>
      <c r="F11" s="249">
        <v>3897.56</v>
      </c>
      <c r="G11" s="247">
        <f t="shared" si="1"/>
        <v>6745.02</v>
      </c>
      <c r="H11" s="247">
        <f t="shared" si="2"/>
        <v>13192.15</v>
      </c>
    </row>
    <row r="12" spans="1:9" x14ac:dyDescent="0.2">
      <c r="A12" s="242" t="s">
        <v>87</v>
      </c>
      <c r="B12" s="243">
        <v>45653</v>
      </c>
      <c r="C12" s="244" t="s">
        <v>134</v>
      </c>
      <c r="D12" s="245">
        <v>4500</v>
      </c>
      <c r="E12" s="246">
        <f t="shared" si="0"/>
        <v>24437.17</v>
      </c>
      <c r="F12" s="249"/>
      <c r="G12" s="247">
        <f t="shared" si="1"/>
        <v>6745.02</v>
      </c>
      <c r="H12" s="247">
        <f t="shared" si="2"/>
        <v>17692.150000000001</v>
      </c>
    </row>
    <row r="13" spans="1:9" x14ac:dyDescent="0.2">
      <c r="A13" s="242" t="s">
        <v>137</v>
      </c>
      <c r="B13" s="243">
        <v>45660</v>
      </c>
      <c r="C13" s="244" t="s">
        <v>138</v>
      </c>
      <c r="D13" s="246"/>
      <c r="E13" s="246">
        <f t="shared" si="0"/>
        <v>24437.17</v>
      </c>
      <c r="F13" s="249">
        <v>4445.8100000000004</v>
      </c>
      <c r="G13" s="247">
        <f t="shared" si="1"/>
        <v>11190.830000000002</v>
      </c>
      <c r="H13" s="247">
        <f t="shared" si="2"/>
        <v>13246.34</v>
      </c>
    </row>
    <row r="14" spans="1:9" x14ac:dyDescent="0.2">
      <c r="A14" s="242" t="s">
        <v>143</v>
      </c>
      <c r="B14" s="243">
        <v>45671</v>
      </c>
      <c r="C14" s="244" t="s">
        <v>144</v>
      </c>
      <c r="D14" s="246"/>
      <c r="E14" s="246">
        <f t="shared" si="0"/>
        <v>24437.17</v>
      </c>
      <c r="F14" s="249">
        <v>3251.78</v>
      </c>
      <c r="G14" s="247">
        <f t="shared" si="1"/>
        <v>14442.610000000002</v>
      </c>
      <c r="H14" s="247">
        <f t="shared" si="2"/>
        <v>9994.56</v>
      </c>
    </row>
    <row r="15" spans="1:9" x14ac:dyDescent="0.2">
      <c r="A15" s="242" t="s">
        <v>157</v>
      </c>
      <c r="B15" s="243">
        <v>45705</v>
      </c>
      <c r="C15" s="244" t="s">
        <v>158</v>
      </c>
      <c r="D15" s="246"/>
      <c r="E15" s="246">
        <f t="shared" si="0"/>
        <v>24437.17</v>
      </c>
      <c r="F15" s="249">
        <v>6353.38</v>
      </c>
      <c r="G15" s="247">
        <f t="shared" si="1"/>
        <v>20795.990000000002</v>
      </c>
      <c r="H15" s="247">
        <f t="shared" si="2"/>
        <v>3641.1799999999994</v>
      </c>
    </row>
    <row r="16" spans="1:9" x14ac:dyDescent="0.2">
      <c r="A16" s="242" t="s">
        <v>199</v>
      </c>
      <c r="B16" s="243">
        <v>45769</v>
      </c>
      <c r="C16" s="244" t="s">
        <v>200</v>
      </c>
      <c r="D16" s="250">
        <v>-964.34</v>
      </c>
      <c r="E16" s="246">
        <f t="shared" si="0"/>
        <v>23472.829999999998</v>
      </c>
      <c r="F16" s="249">
        <v>2676.84</v>
      </c>
      <c r="G16" s="247">
        <f t="shared" si="1"/>
        <v>23472.83</v>
      </c>
      <c r="H16" s="247">
        <f t="shared" si="2"/>
        <v>0</v>
      </c>
    </row>
    <row r="17" spans="1:10" x14ac:dyDescent="0.2">
      <c r="A17" s="242"/>
      <c r="B17" s="243"/>
      <c r="C17" s="244"/>
      <c r="D17" s="246"/>
      <c r="E17" s="246">
        <f t="shared" si="0"/>
        <v>23472.829999999998</v>
      </c>
      <c r="F17" s="249"/>
      <c r="G17" s="247">
        <f t="shared" si="1"/>
        <v>23472.83</v>
      </c>
      <c r="H17" s="247">
        <f t="shared" si="2"/>
        <v>0</v>
      </c>
    </row>
    <row r="18" spans="1:10" x14ac:dyDescent="0.2">
      <c r="A18" s="242"/>
      <c r="B18" s="243"/>
      <c r="C18" s="244"/>
      <c r="D18" s="246"/>
      <c r="E18" s="246">
        <f t="shared" si="0"/>
        <v>23472.829999999998</v>
      </c>
      <c r="F18" s="249"/>
      <c r="G18" s="247">
        <f t="shared" si="1"/>
        <v>23472.83</v>
      </c>
      <c r="H18" s="247">
        <f t="shared" si="2"/>
        <v>0</v>
      </c>
    </row>
    <row r="19" spans="1:10" x14ac:dyDescent="0.2">
      <c r="A19" s="242"/>
      <c r="B19" s="243"/>
      <c r="C19" s="244"/>
      <c r="D19" s="246"/>
      <c r="E19" s="246">
        <f t="shared" si="0"/>
        <v>23472.829999999998</v>
      </c>
      <c r="F19" s="247"/>
      <c r="G19" s="247">
        <f t="shared" si="1"/>
        <v>23472.83</v>
      </c>
      <c r="H19" s="247">
        <f t="shared" si="2"/>
        <v>0</v>
      </c>
    </row>
    <row r="20" spans="1:10" x14ac:dyDescent="0.2">
      <c r="A20" s="242"/>
      <c r="B20" s="243"/>
      <c r="C20" s="244"/>
      <c r="D20" s="246"/>
      <c r="E20" s="246">
        <f t="shared" si="0"/>
        <v>23472.829999999998</v>
      </c>
      <c r="F20" s="247"/>
      <c r="G20" s="247">
        <f t="shared" si="1"/>
        <v>23472.83</v>
      </c>
      <c r="H20" s="247">
        <f t="shared" si="2"/>
        <v>0</v>
      </c>
    </row>
    <row r="21" spans="1:10" x14ac:dyDescent="0.2">
      <c r="A21" s="242"/>
      <c r="B21" s="243"/>
      <c r="C21" s="251"/>
      <c r="D21" s="246"/>
      <c r="E21" s="246">
        <f t="shared" si="0"/>
        <v>23472.829999999998</v>
      </c>
      <c r="F21" s="247"/>
      <c r="G21" s="247">
        <f t="shared" si="1"/>
        <v>23472.83</v>
      </c>
      <c r="H21" s="247">
        <f t="shared" si="2"/>
        <v>0</v>
      </c>
    </row>
    <row r="22" spans="1:10" x14ac:dyDescent="0.2">
      <c r="A22" s="242"/>
      <c r="D22" s="247"/>
      <c r="E22" s="247"/>
      <c r="F22" s="247"/>
      <c r="G22" s="247"/>
      <c r="H22" s="247"/>
    </row>
    <row r="23" spans="1:10" ht="13.5" thickBot="1" x14ac:dyDescent="0.25">
      <c r="A23" s="242"/>
      <c r="B23" s="253"/>
      <c r="C23" s="254" t="s">
        <v>28</v>
      </c>
      <c r="D23" s="255">
        <f>SUM(D9:D22)</f>
        <v>23472.829999999998</v>
      </c>
      <c r="E23" s="255"/>
      <c r="F23" s="255">
        <f>SUM(F9:F22)</f>
        <v>23472.83</v>
      </c>
      <c r="G23" s="255"/>
      <c r="H23" s="255">
        <f>D23-F23</f>
        <v>0</v>
      </c>
      <c r="I23" s="44" t="s">
        <v>202</v>
      </c>
    </row>
    <row r="24" spans="1:10" ht="13.5" thickTop="1" x14ac:dyDescent="0.2">
      <c r="D24" s="247"/>
      <c r="E24" s="247"/>
      <c r="F24" s="247"/>
      <c r="G24" s="247"/>
      <c r="H24" s="247"/>
    </row>
    <row r="25" spans="1:10" x14ac:dyDescent="0.2">
      <c r="D25" s="247"/>
      <c r="E25" s="247"/>
      <c r="F25" s="247"/>
      <c r="G25" s="247"/>
      <c r="H25" s="247"/>
    </row>
    <row r="26" spans="1:10" x14ac:dyDescent="0.2">
      <c r="C26" s="257"/>
      <c r="D26" s="258"/>
      <c r="E26" s="258"/>
      <c r="F26" s="258"/>
      <c r="G26" s="258"/>
      <c r="H26" s="258"/>
      <c r="I26" s="259"/>
      <c r="J26" s="259"/>
    </row>
    <row r="27" spans="1:10" x14ac:dyDescent="0.2">
      <c r="C27" s="257"/>
      <c r="D27" s="258"/>
      <c r="E27" s="258"/>
      <c r="F27" s="258"/>
      <c r="G27" s="258"/>
      <c r="H27" s="258"/>
      <c r="I27" s="259"/>
      <c r="J27" s="259"/>
    </row>
    <row r="28" spans="1:10" x14ac:dyDescent="0.2">
      <c r="C28" s="257"/>
      <c r="D28" s="258"/>
      <c r="E28" s="258"/>
      <c r="F28" s="258"/>
      <c r="G28" s="258"/>
      <c r="H28" s="258"/>
      <c r="I28" s="259"/>
      <c r="J28" s="259"/>
    </row>
    <row r="29" spans="1:10" x14ac:dyDescent="0.2">
      <c r="C29" s="257"/>
      <c r="D29" s="260"/>
      <c r="E29" s="258"/>
      <c r="F29" s="260"/>
      <c r="G29" s="258"/>
      <c r="H29" s="260"/>
      <c r="I29" s="259"/>
      <c r="J29" s="259"/>
    </row>
    <row r="30" spans="1:10" x14ac:dyDescent="0.2">
      <c r="D30" s="247"/>
      <c r="E30" s="247"/>
      <c r="F30" s="247"/>
      <c r="G30" s="247"/>
      <c r="H30" s="247"/>
    </row>
    <row r="31" spans="1:10" x14ac:dyDescent="0.2">
      <c r="D31" s="247"/>
      <c r="E31" s="247"/>
      <c r="F31" s="247"/>
      <c r="G31" s="247"/>
      <c r="H31" s="247"/>
    </row>
    <row r="32" spans="1:10" x14ac:dyDescent="0.2">
      <c r="E32" s="261"/>
    </row>
    <row r="33" spans="5:5" x14ac:dyDescent="0.2">
      <c r="E33" s="261"/>
    </row>
    <row r="34" spans="5:5" x14ac:dyDescent="0.2">
      <c r="E34" s="261"/>
    </row>
    <row r="35" spans="5:5" x14ac:dyDescent="0.2">
      <c r="E35" s="261"/>
    </row>
    <row r="36" spans="5:5" x14ac:dyDescent="0.2">
      <c r="E36" s="261"/>
    </row>
    <row r="37" spans="5:5" x14ac:dyDescent="0.2">
      <c r="E37" s="261"/>
    </row>
    <row r="38" spans="5:5" x14ac:dyDescent="0.2">
      <c r="E38" s="261"/>
    </row>
    <row r="39" spans="5:5" x14ac:dyDescent="0.2">
      <c r="E39" s="261"/>
    </row>
    <row r="40" spans="5:5" x14ac:dyDescent="0.2">
      <c r="E40" s="261"/>
    </row>
    <row r="41" spans="5:5" x14ac:dyDescent="0.2">
      <c r="E41" s="261"/>
    </row>
    <row r="42" spans="5:5" x14ac:dyDescent="0.2">
      <c r="E42" s="261"/>
    </row>
    <row r="43" spans="5:5" x14ac:dyDescent="0.2">
      <c r="E43" s="261"/>
    </row>
    <row r="44" spans="5:5" x14ac:dyDescent="0.2">
      <c r="E44" s="261"/>
    </row>
    <row r="45" spans="5:5" x14ac:dyDescent="0.2">
      <c r="E45" s="261"/>
    </row>
    <row r="46" spans="5:5" x14ac:dyDescent="0.2">
      <c r="E46" s="261"/>
    </row>
    <row r="47" spans="5:5" x14ac:dyDescent="0.2">
      <c r="E47" s="261"/>
    </row>
    <row r="48" spans="5:5" x14ac:dyDescent="0.2">
      <c r="E48" s="261"/>
    </row>
    <row r="49" spans="5:5" x14ac:dyDescent="0.2">
      <c r="E49" s="261"/>
    </row>
    <row r="50" spans="5:5" x14ac:dyDescent="0.2">
      <c r="E50" s="261"/>
    </row>
    <row r="51" spans="5:5" x14ac:dyDescent="0.2">
      <c r="E51" s="261"/>
    </row>
    <row r="52" spans="5:5" x14ac:dyDescent="0.2">
      <c r="E52" s="261"/>
    </row>
    <row r="53" spans="5:5" x14ac:dyDescent="0.2">
      <c r="E53" s="261"/>
    </row>
    <row r="54" spans="5:5" x14ac:dyDescent="0.2">
      <c r="E54" s="261"/>
    </row>
    <row r="55" spans="5:5" x14ac:dyDescent="0.2">
      <c r="E55" s="261"/>
    </row>
    <row r="56" spans="5:5" x14ac:dyDescent="0.2">
      <c r="E56" s="261"/>
    </row>
    <row r="57" spans="5:5" x14ac:dyDescent="0.2">
      <c r="E57" s="261"/>
    </row>
    <row r="58" spans="5:5" x14ac:dyDescent="0.2">
      <c r="E58" s="261"/>
    </row>
    <row r="59" spans="5:5" x14ac:dyDescent="0.2">
      <c r="E59" s="261"/>
    </row>
    <row r="60" spans="5:5" x14ac:dyDescent="0.2">
      <c r="E60" s="261"/>
    </row>
    <row r="61" spans="5:5" x14ac:dyDescent="0.2">
      <c r="E61" s="261"/>
    </row>
    <row r="62" spans="5:5" x14ac:dyDescent="0.2">
      <c r="E62" s="261"/>
    </row>
    <row r="63" spans="5:5" x14ac:dyDescent="0.2">
      <c r="E63" s="261"/>
    </row>
    <row r="64" spans="5:5" x14ac:dyDescent="0.2">
      <c r="E64" s="261"/>
    </row>
    <row r="65" spans="5:5" x14ac:dyDescent="0.2">
      <c r="E65" s="261"/>
    </row>
    <row r="66" spans="5:5" x14ac:dyDescent="0.2">
      <c r="E66" s="261"/>
    </row>
    <row r="67" spans="5:5" x14ac:dyDescent="0.2">
      <c r="E67" s="261"/>
    </row>
    <row r="68" spans="5:5" x14ac:dyDescent="0.2">
      <c r="E68" s="261"/>
    </row>
    <row r="69" spans="5:5" x14ac:dyDescent="0.2">
      <c r="E69" s="261"/>
    </row>
    <row r="70" spans="5:5" x14ac:dyDescent="0.2">
      <c r="E70" s="261"/>
    </row>
    <row r="71" spans="5:5" x14ac:dyDescent="0.2">
      <c r="E71" s="261"/>
    </row>
    <row r="72" spans="5:5" x14ac:dyDescent="0.2">
      <c r="E72" s="261"/>
    </row>
    <row r="73" spans="5:5" x14ac:dyDescent="0.2">
      <c r="E73" s="261"/>
    </row>
    <row r="74" spans="5:5" x14ac:dyDescent="0.2">
      <c r="E74" s="261"/>
    </row>
    <row r="75" spans="5:5" x14ac:dyDescent="0.2">
      <c r="E75" s="261"/>
    </row>
    <row r="76" spans="5:5" x14ac:dyDescent="0.2">
      <c r="E76" s="261"/>
    </row>
    <row r="77" spans="5:5" x14ac:dyDescent="0.2">
      <c r="E77" s="261"/>
    </row>
    <row r="78" spans="5:5" x14ac:dyDescent="0.2">
      <c r="E78" s="261"/>
    </row>
    <row r="79" spans="5:5" x14ac:dyDescent="0.2">
      <c r="E79" s="261"/>
    </row>
    <row r="80" spans="5:5" x14ac:dyDescent="0.2">
      <c r="E80" s="261"/>
    </row>
    <row r="81" spans="5:5" x14ac:dyDescent="0.2">
      <c r="E81" s="261"/>
    </row>
    <row r="82" spans="5:5" x14ac:dyDescent="0.2">
      <c r="E82" s="261"/>
    </row>
    <row r="83" spans="5:5" x14ac:dyDescent="0.2">
      <c r="E83" s="261"/>
    </row>
    <row r="84" spans="5:5" x14ac:dyDescent="0.2">
      <c r="E84" s="261"/>
    </row>
    <row r="85" spans="5:5" x14ac:dyDescent="0.2">
      <c r="E85" s="261"/>
    </row>
    <row r="86" spans="5:5" x14ac:dyDescent="0.2">
      <c r="E86" s="261"/>
    </row>
    <row r="87" spans="5:5" x14ac:dyDescent="0.2">
      <c r="E87" s="261"/>
    </row>
    <row r="88" spans="5:5" x14ac:dyDescent="0.2">
      <c r="E88" s="261"/>
    </row>
    <row r="89" spans="5:5" x14ac:dyDescent="0.2">
      <c r="E89" s="261"/>
    </row>
    <row r="90" spans="5:5" x14ac:dyDescent="0.2">
      <c r="E90" s="261"/>
    </row>
    <row r="91" spans="5:5" x14ac:dyDescent="0.2">
      <c r="E91" s="261"/>
    </row>
    <row r="92" spans="5:5" x14ac:dyDescent="0.2">
      <c r="E92" s="261"/>
    </row>
    <row r="93" spans="5:5" x14ac:dyDescent="0.2">
      <c r="E93" s="261"/>
    </row>
    <row r="94" spans="5:5" x14ac:dyDescent="0.2">
      <c r="E94" s="261"/>
    </row>
    <row r="95" spans="5:5" x14ac:dyDescent="0.2">
      <c r="E95" s="261"/>
    </row>
    <row r="96" spans="5:5" x14ac:dyDescent="0.2">
      <c r="E96" s="261"/>
    </row>
    <row r="97" spans="5:5" x14ac:dyDescent="0.2">
      <c r="E97" s="261"/>
    </row>
    <row r="98" spans="5:5" x14ac:dyDescent="0.2">
      <c r="E98" s="261"/>
    </row>
    <row r="99" spans="5:5" x14ac:dyDescent="0.2">
      <c r="E99" s="261"/>
    </row>
    <row r="100" spans="5:5" x14ac:dyDescent="0.2">
      <c r="E100" s="261"/>
    </row>
    <row r="101" spans="5:5" x14ac:dyDescent="0.2">
      <c r="E101" s="261"/>
    </row>
    <row r="102" spans="5:5" x14ac:dyDescent="0.2">
      <c r="E102" s="261"/>
    </row>
    <row r="103" spans="5:5" x14ac:dyDescent="0.2">
      <c r="E103" s="261"/>
    </row>
    <row r="104" spans="5:5" x14ac:dyDescent="0.2">
      <c r="E104" s="261"/>
    </row>
    <row r="105" spans="5:5" x14ac:dyDescent="0.2">
      <c r="E105" s="261"/>
    </row>
    <row r="106" spans="5:5" x14ac:dyDescent="0.2">
      <c r="E106" s="261"/>
    </row>
    <row r="107" spans="5:5" x14ac:dyDescent="0.2">
      <c r="E107" s="261"/>
    </row>
    <row r="108" spans="5:5" x14ac:dyDescent="0.2">
      <c r="E108" s="261"/>
    </row>
    <row r="109" spans="5:5" x14ac:dyDescent="0.2">
      <c r="E109" s="261"/>
    </row>
    <row r="110" spans="5:5" x14ac:dyDescent="0.2">
      <c r="E110" s="261"/>
    </row>
    <row r="111" spans="5:5" x14ac:dyDescent="0.2">
      <c r="E111" s="261"/>
    </row>
    <row r="112" spans="5:5" x14ac:dyDescent="0.2">
      <c r="E112" s="261"/>
    </row>
    <row r="113" spans="5:5" x14ac:dyDescent="0.2">
      <c r="E113" s="261"/>
    </row>
    <row r="114" spans="5:5" x14ac:dyDescent="0.2">
      <c r="E114" s="261"/>
    </row>
    <row r="115" spans="5:5" x14ac:dyDescent="0.2">
      <c r="E115" s="261"/>
    </row>
    <row r="116" spans="5:5" x14ac:dyDescent="0.2">
      <c r="E116" s="261"/>
    </row>
    <row r="117" spans="5:5" x14ac:dyDescent="0.2">
      <c r="E117" s="261"/>
    </row>
    <row r="118" spans="5:5" x14ac:dyDescent="0.2">
      <c r="E118" s="261"/>
    </row>
    <row r="119" spans="5:5" x14ac:dyDescent="0.2">
      <c r="E119" s="261"/>
    </row>
    <row r="120" spans="5:5" x14ac:dyDescent="0.2">
      <c r="E120" s="261"/>
    </row>
    <row r="121" spans="5:5" x14ac:dyDescent="0.2">
      <c r="E121" s="261"/>
    </row>
    <row r="122" spans="5:5" x14ac:dyDescent="0.2">
      <c r="E122" s="261"/>
    </row>
    <row r="123" spans="5:5" x14ac:dyDescent="0.2">
      <c r="E123" s="261"/>
    </row>
    <row r="124" spans="5:5" x14ac:dyDescent="0.2">
      <c r="E124" s="261"/>
    </row>
    <row r="125" spans="5:5" x14ac:dyDescent="0.2">
      <c r="E125" s="261"/>
    </row>
    <row r="126" spans="5:5" x14ac:dyDescent="0.2">
      <c r="E126" s="261"/>
    </row>
    <row r="127" spans="5:5" x14ac:dyDescent="0.2">
      <c r="E127" s="261"/>
    </row>
    <row r="128" spans="5:5" x14ac:dyDescent="0.2">
      <c r="E128" s="261"/>
    </row>
    <row r="129" spans="5:5" x14ac:dyDescent="0.2">
      <c r="E129" s="261"/>
    </row>
    <row r="130" spans="5:5" x14ac:dyDescent="0.2">
      <c r="E130" s="261"/>
    </row>
    <row r="131" spans="5:5" x14ac:dyDescent="0.2">
      <c r="E131" s="261"/>
    </row>
    <row r="132" spans="5:5" x14ac:dyDescent="0.2">
      <c r="E132" s="261"/>
    </row>
    <row r="133" spans="5:5" x14ac:dyDescent="0.2">
      <c r="E133" s="261"/>
    </row>
    <row r="134" spans="5:5" x14ac:dyDescent="0.2">
      <c r="E134" s="261"/>
    </row>
    <row r="135" spans="5:5" x14ac:dyDescent="0.2">
      <c r="E135" s="261"/>
    </row>
    <row r="136" spans="5:5" x14ac:dyDescent="0.2">
      <c r="E136" s="261"/>
    </row>
    <row r="137" spans="5:5" x14ac:dyDescent="0.2">
      <c r="E137" s="261"/>
    </row>
    <row r="138" spans="5:5" x14ac:dyDescent="0.2">
      <c r="E138" s="261"/>
    </row>
    <row r="139" spans="5:5" x14ac:dyDescent="0.2">
      <c r="E139" s="261"/>
    </row>
    <row r="140" spans="5:5" x14ac:dyDescent="0.2">
      <c r="E140" s="261"/>
    </row>
    <row r="141" spans="5:5" x14ac:dyDescent="0.2">
      <c r="E141" s="261"/>
    </row>
    <row r="142" spans="5:5" x14ac:dyDescent="0.2">
      <c r="E142" s="261"/>
    </row>
    <row r="143" spans="5:5" x14ac:dyDescent="0.2">
      <c r="E143" s="261"/>
    </row>
    <row r="144" spans="5:5" x14ac:dyDescent="0.2">
      <c r="E144" s="261"/>
    </row>
    <row r="145" spans="5:5" x14ac:dyDescent="0.2">
      <c r="E145" s="261"/>
    </row>
    <row r="146" spans="5:5" x14ac:dyDescent="0.2">
      <c r="E146" s="261"/>
    </row>
    <row r="147" spans="5:5" x14ac:dyDescent="0.2">
      <c r="E147" s="261"/>
    </row>
    <row r="148" spans="5:5" x14ac:dyDescent="0.2">
      <c r="E148" s="261"/>
    </row>
    <row r="149" spans="5:5" x14ac:dyDescent="0.2">
      <c r="E149" s="261"/>
    </row>
    <row r="150" spans="5:5" x14ac:dyDescent="0.2">
      <c r="E150" s="261"/>
    </row>
    <row r="151" spans="5:5" x14ac:dyDescent="0.2">
      <c r="E151" s="261"/>
    </row>
    <row r="152" spans="5:5" x14ac:dyDescent="0.2">
      <c r="E152" s="261"/>
    </row>
    <row r="153" spans="5:5" x14ac:dyDescent="0.2">
      <c r="E153" s="261"/>
    </row>
    <row r="154" spans="5:5" x14ac:dyDescent="0.2">
      <c r="E154" s="261"/>
    </row>
    <row r="155" spans="5:5" x14ac:dyDescent="0.2">
      <c r="E155" s="261"/>
    </row>
    <row r="156" spans="5:5" x14ac:dyDescent="0.2">
      <c r="E156" s="261"/>
    </row>
    <row r="157" spans="5:5" x14ac:dyDescent="0.2">
      <c r="E157" s="261"/>
    </row>
    <row r="158" spans="5:5" x14ac:dyDescent="0.2">
      <c r="E158" s="261"/>
    </row>
    <row r="159" spans="5:5" x14ac:dyDescent="0.2">
      <c r="E159" s="261"/>
    </row>
    <row r="160" spans="5:5" x14ac:dyDescent="0.2">
      <c r="E160" s="261"/>
    </row>
    <row r="161" spans="5:5" x14ac:dyDescent="0.2">
      <c r="E161" s="261"/>
    </row>
    <row r="162" spans="5:5" x14ac:dyDescent="0.2">
      <c r="E162" s="261"/>
    </row>
    <row r="163" spans="5:5" x14ac:dyDescent="0.2">
      <c r="E163" s="261"/>
    </row>
    <row r="164" spans="5:5" x14ac:dyDescent="0.2">
      <c r="E164" s="261"/>
    </row>
    <row r="165" spans="5:5" x14ac:dyDescent="0.2">
      <c r="E165" s="261"/>
    </row>
    <row r="166" spans="5:5" x14ac:dyDescent="0.2">
      <c r="E166" s="261"/>
    </row>
    <row r="167" spans="5:5" x14ac:dyDescent="0.2">
      <c r="E167" s="261"/>
    </row>
    <row r="168" spans="5:5" x14ac:dyDescent="0.2">
      <c r="E168" s="261"/>
    </row>
    <row r="169" spans="5:5" x14ac:dyDescent="0.2">
      <c r="E169" s="261"/>
    </row>
    <row r="170" spans="5:5" x14ac:dyDescent="0.2">
      <c r="E170" s="261"/>
    </row>
    <row r="171" spans="5:5" x14ac:dyDescent="0.2">
      <c r="E171" s="261"/>
    </row>
    <row r="172" spans="5:5" x14ac:dyDescent="0.2">
      <c r="E172" s="261"/>
    </row>
    <row r="173" spans="5:5" x14ac:dyDescent="0.2">
      <c r="E173" s="261"/>
    </row>
    <row r="174" spans="5:5" x14ac:dyDescent="0.2">
      <c r="E174" s="261"/>
    </row>
    <row r="175" spans="5:5" x14ac:dyDescent="0.2">
      <c r="E175" s="261"/>
    </row>
    <row r="176" spans="5:5" x14ac:dyDescent="0.2">
      <c r="E176" s="261"/>
    </row>
    <row r="177" spans="5:5" x14ac:dyDescent="0.2">
      <c r="E177" s="261"/>
    </row>
    <row r="178" spans="5:5" x14ac:dyDescent="0.2">
      <c r="E178" s="261"/>
    </row>
    <row r="179" spans="5:5" x14ac:dyDescent="0.2">
      <c r="E179" s="261"/>
    </row>
    <row r="180" spans="5:5" x14ac:dyDescent="0.2">
      <c r="E180" s="261"/>
    </row>
    <row r="181" spans="5:5" x14ac:dyDescent="0.2">
      <c r="E181" s="261"/>
    </row>
    <row r="182" spans="5:5" x14ac:dyDescent="0.2">
      <c r="E182" s="261"/>
    </row>
    <row r="183" spans="5:5" x14ac:dyDescent="0.2">
      <c r="E183" s="261"/>
    </row>
    <row r="184" spans="5:5" x14ac:dyDescent="0.2">
      <c r="E184" s="261"/>
    </row>
    <row r="185" spans="5:5" x14ac:dyDescent="0.2">
      <c r="E185" s="261"/>
    </row>
    <row r="186" spans="5:5" x14ac:dyDescent="0.2">
      <c r="E186" s="261"/>
    </row>
    <row r="187" spans="5:5" x14ac:dyDescent="0.2">
      <c r="E187" s="261"/>
    </row>
    <row r="188" spans="5:5" x14ac:dyDescent="0.2">
      <c r="E188" s="261"/>
    </row>
    <row r="189" spans="5:5" x14ac:dyDescent="0.2">
      <c r="E189" s="261"/>
    </row>
    <row r="190" spans="5:5" x14ac:dyDescent="0.2">
      <c r="E190" s="261"/>
    </row>
    <row r="191" spans="5:5" x14ac:dyDescent="0.2">
      <c r="E191" s="261"/>
    </row>
    <row r="192" spans="5:5" x14ac:dyDescent="0.2">
      <c r="E192" s="261"/>
    </row>
    <row r="193" spans="5:5" x14ac:dyDescent="0.2">
      <c r="E193" s="261"/>
    </row>
    <row r="194" spans="5:5" x14ac:dyDescent="0.2">
      <c r="E194" s="261"/>
    </row>
    <row r="195" spans="5:5" x14ac:dyDescent="0.2">
      <c r="E195" s="261"/>
    </row>
    <row r="196" spans="5:5" x14ac:dyDescent="0.2">
      <c r="E196" s="261"/>
    </row>
    <row r="197" spans="5:5" x14ac:dyDescent="0.2">
      <c r="E197" s="261"/>
    </row>
    <row r="198" spans="5:5" x14ac:dyDescent="0.2">
      <c r="E198" s="261"/>
    </row>
    <row r="199" spans="5:5" x14ac:dyDescent="0.2">
      <c r="E199" s="261"/>
    </row>
    <row r="200" spans="5:5" x14ac:dyDescent="0.2">
      <c r="E200" s="261"/>
    </row>
    <row r="201" spans="5:5" x14ac:dyDescent="0.2">
      <c r="E201" s="261"/>
    </row>
    <row r="202" spans="5:5" x14ac:dyDescent="0.2">
      <c r="E202" s="261"/>
    </row>
    <row r="203" spans="5:5" x14ac:dyDescent="0.2">
      <c r="E203" s="261"/>
    </row>
    <row r="204" spans="5:5" x14ac:dyDescent="0.2">
      <c r="E204" s="261"/>
    </row>
    <row r="205" spans="5:5" x14ac:dyDescent="0.2">
      <c r="E205" s="261"/>
    </row>
    <row r="206" spans="5:5" x14ac:dyDescent="0.2">
      <c r="E206" s="261"/>
    </row>
    <row r="207" spans="5:5" x14ac:dyDescent="0.2">
      <c r="E207" s="261"/>
    </row>
    <row r="208" spans="5:5" x14ac:dyDescent="0.2">
      <c r="E208" s="261"/>
    </row>
    <row r="209" spans="5:5" x14ac:dyDescent="0.2">
      <c r="E209" s="261"/>
    </row>
    <row r="210" spans="5:5" x14ac:dyDescent="0.2">
      <c r="E210" s="261"/>
    </row>
    <row r="211" spans="5:5" x14ac:dyDescent="0.2">
      <c r="E211" s="261"/>
    </row>
    <row r="212" spans="5:5" x14ac:dyDescent="0.2">
      <c r="E212" s="261"/>
    </row>
    <row r="213" spans="5:5" x14ac:dyDescent="0.2">
      <c r="E213" s="261"/>
    </row>
    <row r="214" spans="5:5" x14ac:dyDescent="0.2">
      <c r="E214" s="261"/>
    </row>
    <row r="215" spans="5:5" x14ac:dyDescent="0.2">
      <c r="E215" s="261"/>
    </row>
    <row r="216" spans="5:5" x14ac:dyDescent="0.2">
      <c r="E216" s="261"/>
    </row>
    <row r="217" spans="5:5" x14ac:dyDescent="0.2">
      <c r="E217" s="261"/>
    </row>
    <row r="218" spans="5:5" x14ac:dyDescent="0.2">
      <c r="E218" s="261"/>
    </row>
    <row r="219" spans="5:5" x14ac:dyDescent="0.2">
      <c r="E219" s="261"/>
    </row>
    <row r="220" spans="5:5" x14ac:dyDescent="0.2">
      <c r="E220" s="261"/>
    </row>
    <row r="221" spans="5:5" x14ac:dyDescent="0.2">
      <c r="E221" s="261"/>
    </row>
    <row r="222" spans="5:5" x14ac:dyDescent="0.2">
      <c r="E222" s="261"/>
    </row>
    <row r="223" spans="5:5" x14ac:dyDescent="0.2">
      <c r="E223" s="261"/>
    </row>
    <row r="224" spans="5:5" x14ac:dyDescent="0.2">
      <c r="E224" s="261"/>
    </row>
    <row r="225" spans="5:5" x14ac:dyDescent="0.2">
      <c r="E225" s="261"/>
    </row>
    <row r="226" spans="5:5" x14ac:dyDescent="0.2">
      <c r="E226" s="261"/>
    </row>
    <row r="227" spans="5:5" x14ac:dyDescent="0.2">
      <c r="E227" s="261"/>
    </row>
    <row r="228" spans="5:5" x14ac:dyDescent="0.2">
      <c r="E228" s="261"/>
    </row>
    <row r="229" spans="5:5" x14ac:dyDescent="0.2">
      <c r="E229" s="261"/>
    </row>
    <row r="230" spans="5:5" x14ac:dyDescent="0.2">
      <c r="E230" s="261"/>
    </row>
    <row r="231" spans="5:5" x14ac:dyDescent="0.2">
      <c r="E231" s="261"/>
    </row>
    <row r="232" spans="5:5" x14ac:dyDescent="0.2">
      <c r="E232" s="261"/>
    </row>
    <row r="233" spans="5:5" x14ac:dyDescent="0.2">
      <c r="E233" s="261"/>
    </row>
    <row r="234" spans="5:5" x14ac:dyDescent="0.2">
      <c r="E234" s="261"/>
    </row>
    <row r="235" spans="5:5" x14ac:dyDescent="0.2">
      <c r="E235" s="261"/>
    </row>
    <row r="236" spans="5:5" x14ac:dyDescent="0.2">
      <c r="E236" s="261"/>
    </row>
    <row r="237" spans="5:5" x14ac:dyDescent="0.2">
      <c r="E237" s="261"/>
    </row>
    <row r="238" spans="5:5" x14ac:dyDescent="0.2">
      <c r="E238" s="261"/>
    </row>
    <row r="239" spans="5:5" x14ac:dyDescent="0.2">
      <c r="E239" s="261"/>
    </row>
    <row r="240" spans="5:5" x14ac:dyDescent="0.2">
      <c r="E240" s="261"/>
    </row>
    <row r="241" spans="5:5" x14ac:dyDescent="0.2">
      <c r="E241" s="261"/>
    </row>
    <row r="242" spans="5:5" x14ac:dyDescent="0.2">
      <c r="E242" s="261"/>
    </row>
    <row r="243" spans="5:5" x14ac:dyDescent="0.2">
      <c r="E243" s="261"/>
    </row>
    <row r="244" spans="5:5" x14ac:dyDescent="0.2">
      <c r="E244" s="261"/>
    </row>
    <row r="245" spans="5:5" x14ac:dyDescent="0.2">
      <c r="E245" s="261"/>
    </row>
    <row r="246" spans="5:5" x14ac:dyDescent="0.2">
      <c r="E246" s="261"/>
    </row>
    <row r="247" spans="5:5" x14ac:dyDescent="0.2">
      <c r="E247" s="261"/>
    </row>
    <row r="248" spans="5:5" x14ac:dyDescent="0.2">
      <c r="E248" s="261"/>
    </row>
    <row r="249" spans="5:5" x14ac:dyDescent="0.2">
      <c r="E249" s="261"/>
    </row>
    <row r="250" spans="5:5" x14ac:dyDescent="0.2">
      <c r="E250" s="261"/>
    </row>
    <row r="251" spans="5:5" x14ac:dyDescent="0.2">
      <c r="E251" s="261"/>
    </row>
    <row r="252" spans="5:5" x14ac:dyDescent="0.2">
      <c r="E252" s="261"/>
    </row>
    <row r="253" spans="5:5" x14ac:dyDescent="0.2">
      <c r="E253" s="261"/>
    </row>
    <row r="254" spans="5:5" x14ac:dyDescent="0.2">
      <c r="E254" s="261"/>
    </row>
    <row r="255" spans="5:5" x14ac:dyDescent="0.2">
      <c r="E255" s="261"/>
    </row>
    <row r="256" spans="5:5" x14ac:dyDescent="0.2">
      <c r="E256" s="261"/>
    </row>
    <row r="257" spans="5:5" x14ac:dyDescent="0.2">
      <c r="E257" s="261"/>
    </row>
    <row r="258" spans="5:5" x14ac:dyDescent="0.2">
      <c r="E258" s="261"/>
    </row>
    <row r="259" spans="5:5" x14ac:dyDescent="0.2">
      <c r="E259" s="261"/>
    </row>
    <row r="260" spans="5:5" x14ac:dyDescent="0.2">
      <c r="E260" s="261"/>
    </row>
    <row r="261" spans="5:5" x14ac:dyDescent="0.2">
      <c r="E261" s="261"/>
    </row>
    <row r="262" spans="5:5" x14ac:dyDescent="0.2">
      <c r="E262" s="261"/>
    </row>
    <row r="263" spans="5:5" x14ac:dyDescent="0.2">
      <c r="E263" s="261"/>
    </row>
    <row r="264" spans="5:5" x14ac:dyDescent="0.2">
      <c r="E264" s="261"/>
    </row>
    <row r="265" spans="5:5" x14ac:dyDescent="0.2">
      <c r="E265" s="261"/>
    </row>
    <row r="266" spans="5:5" x14ac:dyDescent="0.2">
      <c r="E266" s="261"/>
    </row>
    <row r="267" spans="5:5" x14ac:dyDescent="0.2">
      <c r="E267" s="261"/>
    </row>
    <row r="268" spans="5:5" x14ac:dyDescent="0.2">
      <c r="E268" s="261"/>
    </row>
    <row r="269" spans="5:5" x14ac:dyDescent="0.2">
      <c r="E269" s="261"/>
    </row>
    <row r="270" spans="5:5" x14ac:dyDescent="0.2">
      <c r="E270" s="261"/>
    </row>
    <row r="271" spans="5:5" x14ac:dyDescent="0.2">
      <c r="E271" s="261"/>
    </row>
    <row r="272" spans="5:5" x14ac:dyDescent="0.2">
      <c r="E272" s="261"/>
    </row>
    <row r="273" spans="5:5" x14ac:dyDescent="0.2">
      <c r="E273" s="261"/>
    </row>
    <row r="274" spans="5:5" x14ac:dyDescent="0.2">
      <c r="E274" s="261"/>
    </row>
    <row r="275" spans="5:5" x14ac:dyDescent="0.2">
      <c r="E275" s="261"/>
    </row>
    <row r="276" spans="5:5" x14ac:dyDescent="0.2">
      <c r="E276" s="261"/>
    </row>
    <row r="277" spans="5:5" x14ac:dyDescent="0.2">
      <c r="E277" s="261"/>
    </row>
    <row r="278" spans="5:5" x14ac:dyDescent="0.2">
      <c r="E278" s="261"/>
    </row>
    <row r="279" spans="5:5" x14ac:dyDescent="0.2">
      <c r="E279" s="261"/>
    </row>
    <row r="280" spans="5:5" x14ac:dyDescent="0.2">
      <c r="E280" s="261"/>
    </row>
    <row r="281" spans="5:5" x14ac:dyDescent="0.2">
      <c r="E281" s="261"/>
    </row>
    <row r="282" spans="5:5" x14ac:dyDescent="0.2">
      <c r="E282" s="261"/>
    </row>
    <row r="283" spans="5:5" x14ac:dyDescent="0.2">
      <c r="E283" s="261"/>
    </row>
    <row r="284" spans="5:5" x14ac:dyDescent="0.2">
      <c r="E284" s="261"/>
    </row>
    <row r="285" spans="5:5" x14ac:dyDescent="0.2">
      <c r="E285" s="261"/>
    </row>
    <row r="286" spans="5:5" x14ac:dyDescent="0.2">
      <c r="E286" s="261"/>
    </row>
    <row r="287" spans="5:5" x14ac:dyDescent="0.2">
      <c r="E287" s="261"/>
    </row>
    <row r="288" spans="5:5" x14ac:dyDescent="0.2">
      <c r="E288" s="261"/>
    </row>
    <row r="289" spans="5:5" x14ac:dyDescent="0.2">
      <c r="E289" s="261"/>
    </row>
    <row r="290" spans="5:5" x14ac:dyDescent="0.2">
      <c r="E290" s="261"/>
    </row>
    <row r="291" spans="5:5" x14ac:dyDescent="0.2">
      <c r="E291" s="261"/>
    </row>
    <row r="292" spans="5:5" x14ac:dyDescent="0.2">
      <c r="E292" s="261"/>
    </row>
    <row r="293" spans="5:5" x14ac:dyDescent="0.2">
      <c r="E293" s="261"/>
    </row>
    <row r="294" spans="5:5" x14ac:dyDescent="0.2">
      <c r="E294" s="261"/>
    </row>
    <row r="295" spans="5:5" x14ac:dyDescent="0.2">
      <c r="E295" s="261"/>
    </row>
    <row r="296" spans="5:5" x14ac:dyDescent="0.2">
      <c r="E296" s="261"/>
    </row>
    <row r="297" spans="5:5" x14ac:dyDescent="0.2">
      <c r="E297" s="261"/>
    </row>
    <row r="298" spans="5:5" x14ac:dyDescent="0.2">
      <c r="E298" s="261"/>
    </row>
    <row r="299" spans="5:5" x14ac:dyDescent="0.2">
      <c r="E299" s="261"/>
    </row>
    <row r="300" spans="5:5" x14ac:dyDescent="0.2">
      <c r="E300" s="261"/>
    </row>
    <row r="301" spans="5:5" x14ac:dyDescent="0.2">
      <c r="E301" s="261"/>
    </row>
    <row r="302" spans="5:5" x14ac:dyDescent="0.2">
      <c r="E302" s="261"/>
    </row>
    <row r="303" spans="5:5" x14ac:dyDescent="0.2">
      <c r="E303" s="261"/>
    </row>
    <row r="304" spans="5:5" x14ac:dyDescent="0.2">
      <c r="E304" s="261"/>
    </row>
    <row r="305" spans="5:5" x14ac:dyDescent="0.2">
      <c r="E305" s="261"/>
    </row>
    <row r="306" spans="5:5" x14ac:dyDescent="0.2">
      <c r="E306" s="261"/>
    </row>
    <row r="307" spans="5:5" x14ac:dyDescent="0.2">
      <c r="E307" s="261"/>
    </row>
    <row r="308" spans="5:5" x14ac:dyDescent="0.2">
      <c r="E308" s="261"/>
    </row>
    <row r="309" spans="5:5" x14ac:dyDescent="0.2">
      <c r="E309" s="261"/>
    </row>
    <row r="310" spans="5:5" x14ac:dyDescent="0.2">
      <c r="E310" s="261"/>
    </row>
    <row r="311" spans="5:5" x14ac:dyDescent="0.2">
      <c r="E311" s="261"/>
    </row>
    <row r="312" spans="5:5" x14ac:dyDescent="0.2">
      <c r="E312" s="261"/>
    </row>
    <row r="313" spans="5:5" x14ac:dyDescent="0.2">
      <c r="E313" s="261"/>
    </row>
    <row r="314" spans="5:5" x14ac:dyDescent="0.2">
      <c r="E314" s="261"/>
    </row>
    <row r="315" spans="5:5" x14ac:dyDescent="0.2">
      <c r="E315" s="261"/>
    </row>
    <row r="316" spans="5:5" x14ac:dyDescent="0.2">
      <c r="E316" s="261"/>
    </row>
    <row r="317" spans="5:5" x14ac:dyDescent="0.2">
      <c r="E317" s="261"/>
    </row>
    <row r="318" spans="5:5" x14ac:dyDescent="0.2">
      <c r="E318" s="261"/>
    </row>
    <row r="319" spans="5:5" x14ac:dyDescent="0.2">
      <c r="E319" s="261"/>
    </row>
    <row r="320" spans="5:5" x14ac:dyDescent="0.2">
      <c r="E320" s="261"/>
    </row>
    <row r="321" spans="5:5" x14ac:dyDescent="0.2">
      <c r="E321" s="261"/>
    </row>
    <row r="322" spans="5:5" x14ac:dyDescent="0.2">
      <c r="E322" s="261"/>
    </row>
    <row r="323" spans="5:5" x14ac:dyDescent="0.2">
      <c r="E323" s="261"/>
    </row>
    <row r="324" spans="5:5" x14ac:dyDescent="0.2">
      <c r="E324" s="261"/>
    </row>
    <row r="325" spans="5:5" x14ac:dyDescent="0.2">
      <c r="E325" s="261"/>
    </row>
    <row r="326" spans="5:5" x14ac:dyDescent="0.2">
      <c r="E326" s="261"/>
    </row>
    <row r="327" spans="5:5" x14ac:dyDescent="0.2">
      <c r="E327" s="261"/>
    </row>
    <row r="328" spans="5:5" x14ac:dyDescent="0.2">
      <c r="E328" s="261"/>
    </row>
    <row r="329" spans="5:5" x14ac:dyDescent="0.2">
      <c r="E329" s="261"/>
    </row>
    <row r="330" spans="5:5" x14ac:dyDescent="0.2">
      <c r="E330" s="261"/>
    </row>
    <row r="331" spans="5:5" x14ac:dyDescent="0.2">
      <c r="E331" s="261"/>
    </row>
    <row r="332" spans="5:5" x14ac:dyDescent="0.2">
      <c r="E332" s="261"/>
    </row>
    <row r="333" spans="5:5" x14ac:dyDescent="0.2">
      <c r="E333" s="261"/>
    </row>
    <row r="334" spans="5:5" x14ac:dyDescent="0.2">
      <c r="E334" s="261"/>
    </row>
    <row r="335" spans="5:5" x14ac:dyDescent="0.2">
      <c r="E335" s="261"/>
    </row>
    <row r="336" spans="5:5" x14ac:dyDescent="0.2">
      <c r="E336" s="261"/>
    </row>
    <row r="337" spans="5:5" x14ac:dyDescent="0.2">
      <c r="E337" s="261"/>
    </row>
    <row r="338" spans="5:5" x14ac:dyDescent="0.2">
      <c r="E338" s="261"/>
    </row>
    <row r="339" spans="5:5" x14ac:dyDescent="0.2">
      <c r="E339" s="261"/>
    </row>
    <row r="340" spans="5:5" x14ac:dyDescent="0.2">
      <c r="E340" s="261"/>
    </row>
    <row r="341" spans="5:5" x14ac:dyDescent="0.2">
      <c r="E341" s="261"/>
    </row>
    <row r="342" spans="5:5" x14ac:dyDescent="0.2">
      <c r="E342" s="261"/>
    </row>
    <row r="343" spans="5:5" x14ac:dyDescent="0.2">
      <c r="E343" s="261"/>
    </row>
    <row r="344" spans="5:5" x14ac:dyDescent="0.2">
      <c r="E344" s="261"/>
    </row>
    <row r="345" spans="5:5" x14ac:dyDescent="0.2">
      <c r="E345" s="261"/>
    </row>
    <row r="346" spans="5:5" x14ac:dyDescent="0.2">
      <c r="E346" s="261"/>
    </row>
    <row r="347" spans="5:5" x14ac:dyDescent="0.2">
      <c r="E347" s="261"/>
    </row>
    <row r="348" spans="5:5" x14ac:dyDescent="0.2">
      <c r="E348" s="261"/>
    </row>
    <row r="349" spans="5:5" x14ac:dyDescent="0.2">
      <c r="E349" s="261"/>
    </row>
    <row r="350" spans="5:5" x14ac:dyDescent="0.2">
      <c r="E350" s="261"/>
    </row>
    <row r="351" spans="5:5" x14ac:dyDescent="0.2">
      <c r="E351" s="261"/>
    </row>
    <row r="352" spans="5:5" x14ac:dyDescent="0.2">
      <c r="E352" s="261"/>
    </row>
    <row r="353" spans="5:5" x14ac:dyDescent="0.2">
      <c r="E353" s="261"/>
    </row>
    <row r="354" spans="5:5" x14ac:dyDescent="0.2">
      <c r="E354" s="261"/>
    </row>
    <row r="355" spans="5:5" x14ac:dyDescent="0.2">
      <c r="E355" s="261"/>
    </row>
    <row r="356" spans="5:5" x14ac:dyDescent="0.2">
      <c r="E356" s="261"/>
    </row>
    <row r="357" spans="5:5" x14ac:dyDescent="0.2">
      <c r="E357" s="261"/>
    </row>
    <row r="358" spans="5:5" x14ac:dyDescent="0.2">
      <c r="E358" s="261"/>
    </row>
    <row r="359" spans="5:5" x14ac:dyDescent="0.2">
      <c r="E359" s="261"/>
    </row>
    <row r="360" spans="5:5" x14ac:dyDescent="0.2">
      <c r="E360" s="261"/>
    </row>
    <row r="361" spans="5:5" x14ac:dyDescent="0.2">
      <c r="E361" s="261"/>
    </row>
    <row r="362" spans="5:5" x14ac:dyDescent="0.2">
      <c r="E362" s="261"/>
    </row>
    <row r="363" spans="5:5" x14ac:dyDescent="0.2">
      <c r="E363" s="261"/>
    </row>
    <row r="364" spans="5:5" x14ac:dyDescent="0.2">
      <c r="E364" s="261"/>
    </row>
    <row r="365" spans="5:5" x14ac:dyDescent="0.2">
      <c r="E365" s="261"/>
    </row>
    <row r="366" spans="5:5" x14ac:dyDescent="0.2">
      <c r="E366" s="261"/>
    </row>
    <row r="367" spans="5:5" x14ac:dyDescent="0.2">
      <c r="E367" s="261"/>
    </row>
    <row r="368" spans="5:5" x14ac:dyDescent="0.2">
      <c r="E368" s="261"/>
    </row>
    <row r="369" spans="5:5" x14ac:dyDescent="0.2">
      <c r="E369" s="261"/>
    </row>
    <row r="370" spans="5:5" x14ac:dyDescent="0.2">
      <c r="E370" s="261"/>
    </row>
    <row r="371" spans="5:5" x14ac:dyDescent="0.2">
      <c r="E371" s="261"/>
    </row>
    <row r="372" spans="5:5" x14ac:dyDescent="0.2">
      <c r="E372" s="261"/>
    </row>
    <row r="373" spans="5:5" x14ac:dyDescent="0.2">
      <c r="E373" s="261"/>
    </row>
    <row r="374" spans="5:5" x14ac:dyDescent="0.2">
      <c r="E374" s="261"/>
    </row>
    <row r="375" spans="5:5" x14ac:dyDescent="0.2">
      <c r="E375" s="261"/>
    </row>
    <row r="376" spans="5:5" x14ac:dyDescent="0.2">
      <c r="E376" s="261"/>
    </row>
    <row r="377" spans="5:5" x14ac:dyDescent="0.2">
      <c r="E377" s="261"/>
    </row>
    <row r="378" spans="5:5" x14ac:dyDescent="0.2">
      <c r="E378" s="261"/>
    </row>
    <row r="379" spans="5:5" x14ac:dyDescent="0.2">
      <c r="E379" s="261"/>
    </row>
    <row r="380" spans="5:5" x14ac:dyDescent="0.2">
      <c r="E380" s="261"/>
    </row>
    <row r="381" spans="5:5" x14ac:dyDescent="0.2">
      <c r="E381" s="261"/>
    </row>
    <row r="382" spans="5:5" x14ac:dyDescent="0.2">
      <c r="E382" s="261"/>
    </row>
    <row r="383" spans="5:5" x14ac:dyDescent="0.2">
      <c r="E383" s="261"/>
    </row>
    <row r="384" spans="5:5" x14ac:dyDescent="0.2">
      <c r="E384" s="261"/>
    </row>
    <row r="385" spans="5:5" x14ac:dyDescent="0.2">
      <c r="E385" s="261"/>
    </row>
    <row r="386" spans="5:5" x14ac:dyDescent="0.2">
      <c r="E386" s="261"/>
    </row>
    <row r="387" spans="5:5" x14ac:dyDescent="0.2">
      <c r="E387" s="261"/>
    </row>
    <row r="388" spans="5:5" x14ac:dyDescent="0.2">
      <c r="E388" s="261"/>
    </row>
    <row r="389" spans="5:5" x14ac:dyDescent="0.2">
      <c r="E389" s="261"/>
    </row>
    <row r="390" spans="5:5" x14ac:dyDescent="0.2">
      <c r="E390" s="261"/>
    </row>
    <row r="391" spans="5:5" x14ac:dyDescent="0.2">
      <c r="E391" s="261"/>
    </row>
    <row r="392" spans="5:5" x14ac:dyDescent="0.2">
      <c r="E392" s="261"/>
    </row>
    <row r="393" spans="5:5" x14ac:dyDescent="0.2">
      <c r="E393" s="261"/>
    </row>
    <row r="394" spans="5:5" x14ac:dyDescent="0.2">
      <c r="E394" s="261"/>
    </row>
    <row r="395" spans="5:5" x14ac:dyDescent="0.2">
      <c r="E395" s="261"/>
    </row>
    <row r="396" spans="5:5" x14ac:dyDescent="0.2">
      <c r="E396" s="261"/>
    </row>
    <row r="397" spans="5:5" x14ac:dyDescent="0.2">
      <c r="E397" s="261"/>
    </row>
    <row r="398" spans="5:5" x14ac:dyDescent="0.2">
      <c r="E398" s="261"/>
    </row>
    <row r="399" spans="5:5" x14ac:dyDescent="0.2">
      <c r="E399" s="261"/>
    </row>
    <row r="400" spans="5:5" x14ac:dyDescent="0.2">
      <c r="E400" s="261"/>
    </row>
    <row r="401" spans="5:5" x14ac:dyDescent="0.2">
      <c r="E401" s="261"/>
    </row>
    <row r="402" spans="5:5" x14ac:dyDescent="0.2">
      <c r="E402" s="261"/>
    </row>
    <row r="403" spans="5:5" x14ac:dyDescent="0.2">
      <c r="E403" s="261"/>
    </row>
    <row r="404" spans="5:5" x14ac:dyDescent="0.2">
      <c r="E404" s="261"/>
    </row>
    <row r="405" spans="5:5" x14ac:dyDescent="0.2">
      <c r="E405" s="261"/>
    </row>
    <row r="406" spans="5:5" x14ac:dyDescent="0.2">
      <c r="E406" s="261"/>
    </row>
    <row r="407" spans="5:5" x14ac:dyDescent="0.2">
      <c r="E407" s="261"/>
    </row>
    <row r="408" spans="5:5" x14ac:dyDescent="0.2">
      <c r="E408" s="261"/>
    </row>
    <row r="409" spans="5:5" x14ac:dyDescent="0.2">
      <c r="E409" s="261"/>
    </row>
    <row r="410" spans="5:5" x14ac:dyDescent="0.2">
      <c r="E410" s="261"/>
    </row>
    <row r="411" spans="5:5" x14ac:dyDescent="0.2">
      <c r="E411" s="261"/>
    </row>
    <row r="412" spans="5:5" x14ac:dyDescent="0.2">
      <c r="E412" s="261"/>
    </row>
    <row r="413" spans="5:5" x14ac:dyDescent="0.2">
      <c r="E413" s="261"/>
    </row>
    <row r="414" spans="5:5" x14ac:dyDescent="0.2">
      <c r="E414" s="261"/>
    </row>
    <row r="415" spans="5:5" x14ac:dyDescent="0.2">
      <c r="E415" s="261"/>
    </row>
    <row r="416" spans="5:5" x14ac:dyDescent="0.2">
      <c r="E416" s="261"/>
    </row>
    <row r="417" spans="5:5" x14ac:dyDescent="0.2">
      <c r="E417" s="261"/>
    </row>
    <row r="418" spans="5:5" x14ac:dyDescent="0.2">
      <c r="E418" s="261"/>
    </row>
    <row r="419" spans="5:5" x14ac:dyDescent="0.2">
      <c r="E419" s="261"/>
    </row>
    <row r="420" spans="5:5" x14ac:dyDescent="0.2">
      <c r="E420" s="261"/>
    </row>
    <row r="421" spans="5:5" x14ac:dyDescent="0.2">
      <c r="E421" s="261"/>
    </row>
    <row r="422" spans="5:5" x14ac:dyDescent="0.2">
      <c r="E422" s="261"/>
    </row>
    <row r="423" spans="5:5" x14ac:dyDescent="0.2">
      <c r="E423" s="261"/>
    </row>
    <row r="424" spans="5:5" x14ac:dyDescent="0.2">
      <c r="E424" s="261"/>
    </row>
    <row r="425" spans="5:5" x14ac:dyDescent="0.2">
      <c r="E425" s="261"/>
    </row>
    <row r="426" spans="5:5" x14ac:dyDescent="0.2">
      <c r="E426" s="261"/>
    </row>
    <row r="427" spans="5:5" x14ac:dyDescent="0.2">
      <c r="E427" s="261"/>
    </row>
    <row r="428" spans="5:5" x14ac:dyDescent="0.2">
      <c r="E428" s="261"/>
    </row>
    <row r="429" spans="5:5" x14ac:dyDescent="0.2">
      <c r="E429" s="261"/>
    </row>
    <row r="430" spans="5:5" x14ac:dyDescent="0.2">
      <c r="E430" s="261"/>
    </row>
    <row r="431" spans="5:5" x14ac:dyDescent="0.2">
      <c r="E431" s="261"/>
    </row>
    <row r="432" spans="5:5" x14ac:dyDescent="0.2">
      <c r="E432" s="261"/>
    </row>
    <row r="433" spans="5:5" x14ac:dyDescent="0.2">
      <c r="E433" s="261"/>
    </row>
    <row r="434" spans="5:5" x14ac:dyDescent="0.2">
      <c r="E434" s="261"/>
    </row>
    <row r="435" spans="5:5" x14ac:dyDescent="0.2">
      <c r="E435" s="261"/>
    </row>
    <row r="436" spans="5:5" x14ac:dyDescent="0.2">
      <c r="E436" s="261"/>
    </row>
    <row r="437" spans="5:5" x14ac:dyDescent="0.2">
      <c r="E437" s="261"/>
    </row>
    <row r="438" spans="5:5" x14ac:dyDescent="0.2">
      <c r="E438" s="261"/>
    </row>
    <row r="439" spans="5:5" x14ac:dyDescent="0.2">
      <c r="E439" s="261"/>
    </row>
    <row r="440" spans="5:5" x14ac:dyDescent="0.2">
      <c r="E440" s="261"/>
    </row>
    <row r="441" spans="5:5" x14ac:dyDescent="0.2">
      <c r="E441" s="261"/>
    </row>
    <row r="442" spans="5:5" x14ac:dyDescent="0.2">
      <c r="E442" s="261"/>
    </row>
    <row r="443" spans="5:5" x14ac:dyDescent="0.2">
      <c r="E443" s="261"/>
    </row>
    <row r="444" spans="5:5" x14ac:dyDescent="0.2">
      <c r="E444" s="261"/>
    </row>
    <row r="445" spans="5:5" x14ac:dyDescent="0.2">
      <c r="E445" s="261"/>
    </row>
    <row r="446" spans="5:5" x14ac:dyDescent="0.2">
      <c r="E446" s="261"/>
    </row>
    <row r="447" spans="5:5" x14ac:dyDescent="0.2">
      <c r="E447" s="261"/>
    </row>
    <row r="448" spans="5:5" x14ac:dyDescent="0.2">
      <c r="E448" s="261"/>
    </row>
    <row r="449" spans="5:5" x14ac:dyDescent="0.2">
      <c r="E449" s="261"/>
    </row>
    <row r="450" spans="5:5" x14ac:dyDescent="0.2">
      <c r="E450" s="261"/>
    </row>
    <row r="451" spans="5:5" x14ac:dyDescent="0.2">
      <c r="E451" s="261"/>
    </row>
    <row r="452" spans="5:5" x14ac:dyDescent="0.2">
      <c r="E452" s="261"/>
    </row>
    <row r="453" spans="5:5" x14ac:dyDescent="0.2">
      <c r="E453" s="261"/>
    </row>
    <row r="454" spans="5:5" x14ac:dyDescent="0.2">
      <c r="E454" s="261"/>
    </row>
    <row r="455" spans="5:5" x14ac:dyDescent="0.2">
      <c r="E455" s="261"/>
    </row>
    <row r="456" spans="5:5" x14ac:dyDescent="0.2">
      <c r="E456" s="261"/>
    </row>
    <row r="457" spans="5:5" x14ac:dyDescent="0.2">
      <c r="E457" s="261"/>
    </row>
    <row r="458" spans="5:5" x14ac:dyDescent="0.2">
      <c r="E458" s="261"/>
    </row>
    <row r="459" spans="5:5" x14ac:dyDescent="0.2">
      <c r="E459" s="261"/>
    </row>
    <row r="460" spans="5:5" x14ac:dyDescent="0.2">
      <c r="E460" s="261"/>
    </row>
    <row r="461" spans="5:5" x14ac:dyDescent="0.2">
      <c r="E461" s="261"/>
    </row>
    <row r="462" spans="5:5" x14ac:dyDescent="0.2">
      <c r="E462" s="261"/>
    </row>
    <row r="463" spans="5:5" x14ac:dyDescent="0.2">
      <c r="E463" s="261"/>
    </row>
    <row r="464" spans="5:5" x14ac:dyDescent="0.2">
      <c r="E464" s="261"/>
    </row>
    <row r="465" spans="5:5" x14ac:dyDescent="0.2">
      <c r="E465" s="261"/>
    </row>
    <row r="466" spans="5:5" x14ac:dyDescent="0.2">
      <c r="E466" s="261"/>
    </row>
    <row r="467" spans="5:5" x14ac:dyDescent="0.2">
      <c r="E467" s="261"/>
    </row>
    <row r="468" spans="5:5" x14ac:dyDescent="0.2">
      <c r="E468" s="261"/>
    </row>
    <row r="469" spans="5:5" x14ac:dyDescent="0.2">
      <c r="E469" s="261"/>
    </row>
    <row r="470" spans="5:5" x14ac:dyDescent="0.2">
      <c r="E470" s="261"/>
    </row>
    <row r="471" spans="5:5" x14ac:dyDescent="0.2">
      <c r="E471" s="261"/>
    </row>
    <row r="472" spans="5:5" x14ac:dyDescent="0.2">
      <c r="E472" s="261"/>
    </row>
    <row r="473" spans="5:5" x14ac:dyDescent="0.2">
      <c r="E473" s="261"/>
    </row>
    <row r="474" spans="5:5" x14ac:dyDescent="0.2">
      <c r="E474" s="261"/>
    </row>
    <row r="475" spans="5:5" x14ac:dyDescent="0.2">
      <c r="E475" s="261"/>
    </row>
    <row r="476" spans="5:5" x14ac:dyDescent="0.2">
      <c r="E476" s="261"/>
    </row>
    <row r="477" spans="5:5" x14ac:dyDescent="0.2">
      <c r="E477" s="261"/>
    </row>
    <row r="478" spans="5:5" x14ac:dyDescent="0.2">
      <c r="E478" s="261"/>
    </row>
    <row r="479" spans="5:5" x14ac:dyDescent="0.2">
      <c r="E479" s="261"/>
    </row>
    <row r="480" spans="5:5" x14ac:dyDescent="0.2">
      <c r="E480" s="261"/>
    </row>
    <row r="481" spans="5:5" x14ac:dyDescent="0.2">
      <c r="E481" s="261"/>
    </row>
    <row r="482" spans="5:5" x14ac:dyDescent="0.2">
      <c r="E482" s="261"/>
    </row>
    <row r="483" spans="5:5" x14ac:dyDescent="0.2">
      <c r="E483" s="261"/>
    </row>
    <row r="484" spans="5:5" x14ac:dyDescent="0.2">
      <c r="E484" s="261"/>
    </row>
    <row r="485" spans="5:5" x14ac:dyDescent="0.2">
      <c r="E485" s="261"/>
    </row>
    <row r="486" spans="5:5" x14ac:dyDescent="0.2">
      <c r="E486" s="261"/>
    </row>
    <row r="487" spans="5:5" x14ac:dyDescent="0.2">
      <c r="E487" s="261"/>
    </row>
    <row r="488" spans="5:5" x14ac:dyDescent="0.2">
      <c r="E488" s="261"/>
    </row>
    <row r="489" spans="5:5" x14ac:dyDescent="0.2">
      <c r="E489" s="261"/>
    </row>
    <row r="490" spans="5:5" x14ac:dyDescent="0.2">
      <c r="E490" s="261"/>
    </row>
    <row r="491" spans="5:5" x14ac:dyDescent="0.2">
      <c r="E491" s="261"/>
    </row>
    <row r="492" spans="5:5" x14ac:dyDescent="0.2">
      <c r="E492" s="261"/>
    </row>
    <row r="493" spans="5:5" x14ac:dyDescent="0.2">
      <c r="E493" s="261"/>
    </row>
    <row r="494" spans="5:5" x14ac:dyDescent="0.2">
      <c r="E494" s="261"/>
    </row>
    <row r="495" spans="5:5" x14ac:dyDescent="0.2">
      <c r="E495" s="261"/>
    </row>
    <row r="496" spans="5:5" x14ac:dyDescent="0.2">
      <c r="E496" s="261"/>
    </row>
    <row r="497" spans="5:5" x14ac:dyDescent="0.2">
      <c r="E497" s="261"/>
    </row>
    <row r="498" spans="5:5" x14ac:dyDescent="0.2">
      <c r="E498" s="261"/>
    </row>
    <row r="499" spans="5:5" x14ac:dyDescent="0.2">
      <c r="E499" s="261"/>
    </row>
    <row r="500" spans="5:5" x14ac:dyDescent="0.2">
      <c r="E500" s="261"/>
    </row>
    <row r="501" spans="5:5" x14ac:dyDescent="0.2">
      <c r="E501" s="261"/>
    </row>
    <row r="502" spans="5:5" x14ac:dyDescent="0.2">
      <c r="E502" s="261"/>
    </row>
    <row r="503" spans="5:5" x14ac:dyDescent="0.2">
      <c r="E503" s="261"/>
    </row>
    <row r="504" spans="5:5" x14ac:dyDescent="0.2">
      <c r="E504" s="261"/>
    </row>
    <row r="505" spans="5:5" x14ac:dyDescent="0.2">
      <c r="E505" s="261"/>
    </row>
    <row r="506" spans="5:5" x14ac:dyDescent="0.2">
      <c r="E506" s="261"/>
    </row>
    <row r="507" spans="5:5" x14ac:dyDescent="0.2">
      <c r="E507" s="261"/>
    </row>
    <row r="508" spans="5:5" x14ac:dyDescent="0.2">
      <c r="E508" s="261"/>
    </row>
    <row r="509" spans="5:5" x14ac:dyDescent="0.2">
      <c r="E509" s="261"/>
    </row>
    <row r="510" spans="5:5" x14ac:dyDescent="0.2">
      <c r="E510" s="261"/>
    </row>
    <row r="511" spans="5:5" x14ac:dyDescent="0.2">
      <c r="E511" s="261"/>
    </row>
    <row r="512" spans="5:5" x14ac:dyDescent="0.2">
      <c r="E512" s="261"/>
    </row>
    <row r="513" spans="5:5" x14ac:dyDescent="0.2">
      <c r="E513" s="261"/>
    </row>
    <row r="514" spans="5:5" x14ac:dyDescent="0.2">
      <c r="E514" s="261"/>
    </row>
    <row r="515" spans="5:5" x14ac:dyDescent="0.2">
      <c r="E515" s="261"/>
    </row>
    <row r="516" spans="5:5" x14ac:dyDescent="0.2">
      <c r="E516" s="261"/>
    </row>
    <row r="517" spans="5:5" x14ac:dyDescent="0.2">
      <c r="E517" s="261"/>
    </row>
    <row r="518" spans="5:5" x14ac:dyDescent="0.2">
      <c r="E518" s="261"/>
    </row>
    <row r="519" spans="5:5" x14ac:dyDescent="0.2">
      <c r="E519" s="261"/>
    </row>
    <row r="520" spans="5:5" x14ac:dyDescent="0.2">
      <c r="E520" s="261"/>
    </row>
    <row r="521" spans="5:5" x14ac:dyDescent="0.2">
      <c r="E521" s="261"/>
    </row>
    <row r="522" spans="5:5" x14ac:dyDescent="0.2">
      <c r="E522" s="261"/>
    </row>
    <row r="523" spans="5:5" x14ac:dyDescent="0.2">
      <c r="E523" s="261"/>
    </row>
    <row r="524" spans="5:5" x14ac:dyDescent="0.2">
      <c r="E524" s="261"/>
    </row>
    <row r="525" spans="5:5" x14ac:dyDescent="0.2">
      <c r="E525" s="261"/>
    </row>
    <row r="526" spans="5:5" x14ac:dyDescent="0.2">
      <c r="E526" s="261"/>
    </row>
    <row r="527" spans="5:5" x14ac:dyDescent="0.2">
      <c r="E527" s="261"/>
    </row>
    <row r="528" spans="5:5" x14ac:dyDescent="0.2">
      <c r="E528" s="261"/>
    </row>
    <row r="529" spans="5:5" x14ac:dyDescent="0.2">
      <c r="E529" s="261"/>
    </row>
    <row r="530" spans="5:5" x14ac:dyDescent="0.2">
      <c r="E530" s="261"/>
    </row>
    <row r="531" spans="5:5" x14ac:dyDescent="0.2">
      <c r="E531" s="261"/>
    </row>
    <row r="532" spans="5:5" x14ac:dyDescent="0.2">
      <c r="E532" s="261"/>
    </row>
    <row r="533" spans="5:5" x14ac:dyDescent="0.2">
      <c r="E533" s="261"/>
    </row>
    <row r="534" spans="5:5" x14ac:dyDescent="0.2">
      <c r="E534" s="261"/>
    </row>
    <row r="535" spans="5:5" x14ac:dyDescent="0.2">
      <c r="E535" s="261"/>
    </row>
    <row r="536" spans="5:5" x14ac:dyDescent="0.2">
      <c r="E536" s="261"/>
    </row>
    <row r="537" spans="5:5" x14ac:dyDescent="0.2">
      <c r="E537" s="261"/>
    </row>
    <row r="538" spans="5:5" x14ac:dyDescent="0.2">
      <c r="E538" s="261"/>
    </row>
    <row r="539" spans="5:5" x14ac:dyDescent="0.2">
      <c r="E539" s="261"/>
    </row>
    <row r="540" spans="5:5" x14ac:dyDescent="0.2">
      <c r="E540" s="261"/>
    </row>
    <row r="541" spans="5:5" x14ac:dyDescent="0.2">
      <c r="E541" s="261"/>
    </row>
    <row r="542" spans="5:5" x14ac:dyDescent="0.2">
      <c r="E542" s="261"/>
    </row>
    <row r="543" spans="5:5" x14ac:dyDescent="0.2">
      <c r="E543" s="261"/>
    </row>
    <row r="544" spans="5:5" x14ac:dyDescent="0.2">
      <c r="E544" s="261"/>
    </row>
    <row r="545" spans="5:5" x14ac:dyDescent="0.2">
      <c r="E545" s="261"/>
    </row>
    <row r="546" spans="5:5" x14ac:dyDescent="0.2">
      <c r="E546" s="261"/>
    </row>
    <row r="547" spans="5:5" x14ac:dyDescent="0.2">
      <c r="E547" s="261"/>
    </row>
    <row r="548" spans="5:5" x14ac:dyDescent="0.2">
      <c r="E548" s="261"/>
    </row>
    <row r="549" spans="5:5" x14ac:dyDescent="0.2">
      <c r="E549" s="261"/>
    </row>
    <row r="550" spans="5:5" x14ac:dyDescent="0.2">
      <c r="E550" s="261"/>
    </row>
    <row r="551" spans="5:5" x14ac:dyDescent="0.2">
      <c r="E551" s="261"/>
    </row>
    <row r="552" spans="5:5" x14ac:dyDescent="0.2">
      <c r="E552" s="261"/>
    </row>
    <row r="553" spans="5:5" x14ac:dyDescent="0.2">
      <c r="E553" s="261"/>
    </row>
    <row r="554" spans="5:5" x14ac:dyDescent="0.2">
      <c r="E554" s="261"/>
    </row>
    <row r="555" spans="5:5" x14ac:dyDescent="0.2">
      <c r="E555" s="261"/>
    </row>
    <row r="556" spans="5:5" x14ac:dyDescent="0.2">
      <c r="E556" s="261"/>
    </row>
    <row r="557" spans="5:5" x14ac:dyDescent="0.2">
      <c r="E557" s="261"/>
    </row>
    <row r="558" spans="5:5" x14ac:dyDescent="0.2">
      <c r="E558" s="261"/>
    </row>
    <row r="559" spans="5:5" x14ac:dyDescent="0.2">
      <c r="E559" s="261"/>
    </row>
    <row r="560" spans="5:5" x14ac:dyDescent="0.2">
      <c r="E560" s="261"/>
    </row>
    <row r="561" spans="5:5" x14ac:dyDescent="0.2">
      <c r="E561" s="261"/>
    </row>
    <row r="562" spans="5:5" x14ac:dyDescent="0.2">
      <c r="E562" s="261"/>
    </row>
    <row r="563" spans="5:5" x14ac:dyDescent="0.2">
      <c r="E563" s="261"/>
    </row>
    <row r="564" spans="5:5" x14ac:dyDescent="0.2">
      <c r="E564" s="261"/>
    </row>
    <row r="565" spans="5:5" x14ac:dyDescent="0.2">
      <c r="E565" s="261"/>
    </row>
    <row r="566" spans="5:5" x14ac:dyDescent="0.2">
      <c r="E566" s="261"/>
    </row>
    <row r="567" spans="5:5" x14ac:dyDescent="0.2">
      <c r="E567" s="261"/>
    </row>
    <row r="568" spans="5:5" x14ac:dyDescent="0.2">
      <c r="E568" s="261"/>
    </row>
    <row r="569" spans="5:5" x14ac:dyDescent="0.2">
      <c r="E569" s="261"/>
    </row>
    <row r="570" spans="5:5" x14ac:dyDescent="0.2">
      <c r="E570" s="261"/>
    </row>
    <row r="571" spans="5:5" x14ac:dyDescent="0.2">
      <c r="E571" s="261"/>
    </row>
    <row r="572" spans="5:5" x14ac:dyDescent="0.2">
      <c r="E572" s="261"/>
    </row>
    <row r="573" spans="5:5" x14ac:dyDescent="0.2">
      <c r="E573" s="261"/>
    </row>
    <row r="574" spans="5:5" x14ac:dyDescent="0.2">
      <c r="E574" s="261"/>
    </row>
    <row r="575" spans="5:5" x14ac:dyDescent="0.2">
      <c r="E575" s="261"/>
    </row>
    <row r="576" spans="5:5" x14ac:dyDescent="0.2">
      <c r="E576" s="261"/>
    </row>
    <row r="577" spans="5:5" x14ac:dyDescent="0.2">
      <c r="E577" s="261"/>
    </row>
    <row r="578" spans="5:5" x14ac:dyDescent="0.2">
      <c r="E578" s="261"/>
    </row>
    <row r="579" spans="5:5" x14ac:dyDescent="0.2">
      <c r="E579" s="261"/>
    </row>
    <row r="580" spans="5:5" x14ac:dyDescent="0.2">
      <c r="E580" s="261"/>
    </row>
    <row r="581" spans="5:5" x14ac:dyDescent="0.2">
      <c r="E581" s="261"/>
    </row>
    <row r="582" spans="5:5" x14ac:dyDescent="0.2">
      <c r="E582" s="261"/>
    </row>
    <row r="583" spans="5:5" x14ac:dyDescent="0.2">
      <c r="E583" s="261"/>
    </row>
    <row r="584" spans="5:5" x14ac:dyDescent="0.2">
      <c r="E584" s="261"/>
    </row>
    <row r="585" spans="5:5" x14ac:dyDescent="0.2">
      <c r="E585" s="261"/>
    </row>
    <row r="586" spans="5:5" x14ac:dyDescent="0.2">
      <c r="E586" s="261"/>
    </row>
    <row r="587" spans="5:5" x14ac:dyDescent="0.2">
      <c r="E587" s="261"/>
    </row>
    <row r="588" spans="5:5" x14ac:dyDescent="0.2">
      <c r="E588" s="261"/>
    </row>
    <row r="589" spans="5:5" x14ac:dyDescent="0.2">
      <c r="E589" s="261"/>
    </row>
    <row r="590" spans="5:5" x14ac:dyDescent="0.2">
      <c r="E590" s="261"/>
    </row>
    <row r="591" spans="5:5" x14ac:dyDescent="0.2">
      <c r="E591" s="261"/>
    </row>
    <row r="592" spans="5:5" x14ac:dyDescent="0.2">
      <c r="E592" s="261"/>
    </row>
    <row r="593" spans="5:5" x14ac:dyDescent="0.2">
      <c r="E593" s="261"/>
    </row>
    <row r="594" spans="5:5" x14ac:dyDescent="0.2">
      <c r="E594" s="261"/>
    </row>
    <row r="595" spans="5:5" x14ac:dyDescent="0.2">
      <c r="E595" s="261"/>
    </row>
    <row r="596" spans="5:5" x14ac:dyDescent="0.2">
      <c r="E596" s="261"/>
    </row>
    <row r="597" spans="5:5" x14ac:dyDescent="0.2">
      <c r="E597" s="261"/>
    </row>
    <row r="598" spans="5:5" x14ac:dyDescent="0.2">
      <c r="E598" s="261"/>
    </row>
    <row r="599" spans="5:5" x14ac:dyDescent="0.2">
      <c r="E599" s="261"/>
    </row>
    <row r="600" spans="5:5" x14ac:dyDescent="0.2">
      <c r="E600" s="261"/>
    </row>
    <row r="601" spans="5:5" x14ac:dyDescent="0.2">
      <c r="E601" s="261"/>
    </row>
    <row r="602" spans="5:5" x14ac:dyDescent="0.2">
      <c r="E602" s="261"/>
    </row>
    <row r="603" spans="5:5" x14ac:dyDescent="0.2">
      <c r="E603" s="261"/>
    </row>
    <row r="604" spans="5:5" x14ac:dyDescent="0.2">
      <c r="E604" s="261"/>
    </row>
    <row r="605" spans="5:5" x14ac:dyDescent="0.2">
      <c r="E605" s="261"/>
    </row>
    <row r="606" spans="5:5" x14ac:dyDescent="0.2">
      <c r="E606" s="261"/>
    </row>
    <row r="607" spans="5:5" x14ac:dyDescent="0.2">
      <c r="E607" s="261"/>
    </row>
    <row r="608" spans="5:5" x14ac:dyDescent="0.2">
      <c r="E608" s="261"/>
    </row>
    <row r="609" spans="5:5" x14ac:dyDescent="0.2">
      <c r="E609" s="261"/>
    </row>
    <row r="610" spans="5:5" x14ac:dyDescent="0.2">
      <c r="E610" s="261"/>
    </row>
    <row r="611" spans="5:5" x14ac:dyDescent="0.2">
      <c r="E611" s="261"/>
    </row>
    <row r="612" spans="5:5" x14ac:dyDescent="0.2">
      <c r="E612" s="261"/>
    </row>
    <row r="613" spans="5:5" x14ac:dyDescent="0.2">
      <c r="E613" s="261"/>
    </row>
    <row r="614" spans="5:5" x14ac:dyDescent="0.2">
      <c r="E614" s="261"/>
    </row>
    <row r="615" spans="5:5" x14ac:dyDescent="0.2">
      <c r="E615" s="261"/>
    </row>
    <row r="616" spans="5:5" x14ac:dyDescent="0.2">
      <c r="E616" s="261"/>
    </row>
    <row r="617" spans="5:5" x14ac:dyDescent="0.2">
      <c r="E617" s="261"/>
    </row>
    <row r="618" spans="5:5" x14ac:dyDescent="0.2">
      <c r="E618" s="261"/>
    </row>
    <row r="619" spans="5:5" x14ac:dyDescent="0.2">
      <c r="E619" s="261"/>
    </row>
    <row r="620" spans="5:5" x14ac:dyDescent="0.2">
      <c r="E620" s="261"/>
    </row>
    <row r="621" spans="5:5" x14ac:dyDescent="0.2">
      <c r="E621" s="261"/>
    </row>
    <row r="622" spans="5:5" x14ac:dyDescent="0.2">
      <c r="E622" s="261"/>
    </row>
    <row r="623" spans="5:5" x14ac:dyDescent="0.2">
      <c r="E623" s="261"/>
    </row>
    <row r="624" spans="5:5" x14ac:dyDescent="0.2">
      <c r="E624" s="261"/>
    </row>
    <row r="625" spans="5:5" x14ac:dyDescent="0.2">
      <c r="E625" s="261"/>
    </row>
    <row r="626" spans="5:5" x14ac:dyDescent="0.2">
      <c r="E626" s="261"/>
    </row>
    <row r="627" spans="5:5" x14ac:dyDescent="0.2">
      <c r="E627" s="261"/>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44"/>
  <sheetViews>
    <sheetView zoomScaleNormal="100" workbookViewId="0">
      <selection activeCell="L37" sqref="L37"/>
    </sheetView>
  </sheetViews>
  <sheetFormatPr defaultColWidth="11.42578125" defaultRowHeight="12.75" x14ac:dyDescent="0.2"/>
  <cols>
    <col min="1" max="1" width="25" style="76" customWidth="1"/>
    <col min="2" max="3" width="9.42578125" style="77" customWidth="1"/>
    <col min="4" max="4" width="37.7109375" style="78" customWidth="1"/>
    <col min="5" max="5" width="12.5703125" style="65" customWidth="1"/>
    <col min="6" max="6" width="13.5703125" style="80" customWidth="1"/>
    <col min="7" max="7" width="12.42578125" style="80" customWidth="1"/>
    <col min="8" max="8" width="10.5703125" style="80" customWidth="1"/>
    <col min="9" max="9" width="12" style="65" customWidth="1"/>
    <col min="10" max="16384" width="11.42578125" style="65"/>
  </cols>
  <sheetData>
    <row r="1" spans="1:10" s="35" customFormat="1" ht="24.75" customHeight="1" x14ac:dyDescent="0.25">
      <c r="A1" s="2" t="str">
        <f>'RECAP #9436.00'!B1</f>
        <v>DAS TH Residence Elevator Replacement</v>
      </c>
      <c r="B1" s="3"/>
      <c r="C1" s="3"/>
      <c r="D1" s="4"/>
      <c r="E1" s="4"/>
      <c r="F1" s="4"/>
      <c r="G1" s="34"/>
      <c r="H1" s="34"/>
    </row>
    <row r="2" spans="1:10" s="35" customFormat="1" ht="15.75" x14ac:dyDescent="0.25">
      <c r="A2" s="6" t="str">
        <f>'RECAP #9436.00'!B2</f>
        <v>Project # 9436.00</v>
      </c>
      <c r="B2" s="5"/>
      <c r="C2" s="5"/>
      <c r="D2" s="4"/>
      <c r="E2" s="4"/>
      <c r="F2" s="4"/>
      <c r="G2" s="34"/>
      <c r="H2" s="34"/>
    </row>
    <row r="3" spans="1:10" s="35" customFormat="1" ht="15.75" x14ac:dyDescent="0.25">
      <c r="A3" s="7" t="str">
        <f>'RECAP #9436.00'!B3</f>
        <v>Program code 943600</v>
      </c>
      <c r="B3" s="5"/>
      <c r="C3" s="5"/>
      <c r="D3" s="4"/>
      <c r="E3" s="8" t="str">
        <f>'RECAP #9436.00'!E3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77</v>
      </c>
      <c r="F6" s="50"/>
      <c r="G6" s="51"/>
      <c r="H6" s="47"/>
      <c r="I6" s="42"/>
    </row>
    <row r="7" spans="1:10" s="35" customFormat="1" ht="15.75" x14ac:dyDescent="0.25">
      <c r="A7" s="13" t="str">
        <f>'RECAP #9436.00'!B6</f>
        <v>Project Manager - James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204">
        <v>16000</v>
      </c>
      <c r="F9" s="63">
        <f>E9</f>
        <v>16000</v>
      </c>
      <c r="G9" s="64"/>
      <c r="H9" s="64"/>
      <c r="I9" s="64">
        <f>F9</f>
        <v>16000</v>
      </c>
    </row>
    <row r="10" spans="1:10" x14ac:dyDescent="0.2">
      <c r="A10" s="205" t="s">
        <v>92</v>
      </c>
      <c r="B10" s="60">
        <v>45574</v>
      </c>
      <c r="C10" s="206">
        <v>2507</v>
      </c>
      <c r="D10" s="83" t="s">
        <v>101</v>
      </c>
      <c r="E10" s="63"/>
      <c r="F10" s="63">
        <f t="shared" ref="F10:F38" si="0">F9+E10</f>
        <v>16000</v>
      </c>
      <c r="G10" s="207">
        <f>94.4+34.36</f>
        <v>128.76</v>
      </c>
      <c r="H10" s="64">
        <f t="shared" ref="H10:H38" si="1">H9+G10</f>
        <v>128.76</v>
      </c>
      <c r="I10" s="64">
        <f t="shared" ref="I10:I38" si="2">I9-G10+E10</f>
        <v>15871.24</v>
      </c>
    </row>
    <row r="11" spans="1:10" x14ac:dyDescent="0.2">
      <c r="A11" s="205" t="s">
        <v>92</v>
      </c>
      <c r="B11" s="60">
        <v>45574</v>
      </c>
      <c r="C11" s="206">
        <v>9500</v>
      </c>
      <c r="D11" s="83" t="s">
        <v>102</v>
      </c>
      <c r="E11" s="63"/>
      <c r="F11" s="63">
        <f t="shared" si="0"/>
        <v>16000</v>
      </c>
      <c r="G11" s="207">
        <f>74+1071.4</f>
        <v>1145.4000000000001</v>
      </c>
      <c r="H11" s="64">
        <f t="shared" si="1"/>
        <v>1274.1600000000001</v>
      </c>
      <c r="I11" s="64">
        <f t="shared" si="2"/>
        <v>14725.84</v>
      </c>
    </row>
    <row r="12" spans="1:10" x14ac:dyDescent="0.2">
      <c r="A12" s="205" t="s">
        <v>103</v>
      </c>
      <c r="B12" s="60">
        <v>45603</v>
      </c>
      <c r="C12" s="206">
        <v>2507</v>
      </c>
      <c r="D12" s="83" t="s">
        <v>104</v>
      </c>
      <c r="E12" s="63"/>
      <c r="F12" s="63">
        <f t="shared" si="0"/>
        <v>16000</v>
      </c>
      <c r="G12" s="207">
        <f>26.24+53.29</f>
        <v>79.53</v>
      </c>
      <c r="H12" s="64">
        <f t="shared" si="1"/>
        <v>1353.69</v>
      </c>
      <c r="I12" s="64">
        <f t="shared" si="2"/>
        <v>14646.31</v>
      </c>
    </row>
    <row r="13" spans="1:10" x14ac:dyDescent="0.2">
      <c r="A13" s="205" t="s">
        <v>103</v>
      </c>
      <c r="B13" s="60">
        <v>45603</v>
      </c>
      <c r="C13" s="206">
        <v>9500</v>
      </c>
      <c r="D13" s="83" t="s">
        <v>105</v>
      </c>
      <c r="E13" s="63"/>
      <c r="F13" s="63">
        <f t="shared" si="0"/>
        <v>16000</v>
      </c>
      <c r="G13" s="207">
        <f>43.5+491.7</f>
        <v>535.20000000000005</v>
      </c>
      <c r="H13" s="64">
        <f t="shared" si="1"/>
        <v>1888.89</v>
      </c>
      <c r="I13" s="64">
        <f t="shared" si="2"/>
        <v>14111.109999999999</v>
      </c>
    </row>
    <row r="14" spans="1:10" ht="15" x14ac:dyDescent="0.25">
      <c r="A14" s="205" t="s">
        <v>108</v>
      </c>
      <c r="B14" s="60">
        <v>45635</v>
      </c>
      <c r="C14" s="206">
        <v>2507</v>
      </c>
      <c r="D14" s="210" t="s">
        <v>109</v>
      </c>
      <c r="E14" s="63"/>
      <c r="F14" s="63">
        <f t="shared" si="0"/>
        <v>16000</v>
      </c>
      <c r="G14" s="207">
        <f>42.75+77.13</f>
        <v>119.88</v>
      </c>
      <c r="H14" s="64">
        <f t="shared" si="1"/>
        <v>2008.77</v>
      </c>
      <c r="I14" s="64">
        <f t="shared" si="2"/>
        <v>13991.23</v>
      </c>
    </row>
    <row r="15" spans="1:10" ht="15" x14ac:dyDescent="0.25">
      <c r="A15" s="205" t="s">
        <v>108</v>
      </c>
      <c r="B15" s="60">
        <v>45635</v>
      </c>
      <c r="C15" s="206">
        <v>9500</v>
      </c>
      <c r="D15" s="209" t="s">
        <v>110</v>
      </c>
      <c r="E15" s="63"/>
      <c r="F15" s="63">
        <f t="shared" si="0"/>
        <v>16000</v>
      </c>
      <c r="G15" s="207">
        <f>53+743.6</f>
        <v>796.6</v>
      </c>
      <c r="H15" s="64">
        <f t="shared" si="1"/>
        <v>2805.37</v>
      </c>
      <c r="I15" s="64">
        <f t="shared" si="2"/>
        <v>13194.63</v>
      </c>
    </row>
    <row r="16" spans="1:10" x14ac:dyDescent="0.2">
      <c r="A16" s="205" t="s">
        <v>140</v>
      </c>
      <c r="B16" s="214">
        <v>45666</v>
      </c>
      <c r="C16" s="215">
        <v>2507</v>
      </c>
      <c r="D16" s="216" t="s">
        <v>141</v>
      </c>
      <c r="E16" s="63"/>
      <c r="F16" s="63">
        <f t="shared" si="0"/>
        <v>16000</v>
      </c>
      <c r="G16" s="207">
        <f>41.48+49.79</f>
        <v>91.27</v>
      </c>
      <c r="H16" s="64">
        <f t="shared" si="1"/>
        <v>2896.64</v>
      </c>
      <c r="I16" s="64">
        <f t="shared" si="2"/>
        <v>13103.359999999999</v>
      </c>
    </row>
    <row r="17" spans="1:9" x14ac:dyDescent="0.2">
      <c r="A17" s="205" t="s">
        <v>140</v>
      </c>
      <c r="B17" s="214">
        <v>45666</v>
      </c>
      <c r="C17" s="215">
        <v>9500</v>
      </c>
      <c r="D17" s="217" t="s">
        <v>142</v>
      </c>
      <c r="E17" s="63"/>
      <c r="F17" s="63">
        <f t="shared" si="0"/>
        <v>16000</v>
      </c>
      <c r="G17" s="207">
        <f>65+844.8</f>
        <v>909.8</v>
      </c>
      <c r="H17" s="64">
        <f t="shared" si="1"/>
        <v>3806.4399999999996</v>
      </c>
      <c r="I17" s="64">
        <f t="shared" si="2"/>
        <v>12193.56</v>
      </c>
    </row>
    <row r="18" spans="1:9" x14ac:dyDescent="0.2">
      <c r="A18" s="205" t="s">
        <v>154</v>
      </c>
      <c r="B18" s="214">
        <v>45699</v>
      </c>
      <c r="C18" s="215">
        <v>2507</v>
      </c>
      <c r="D18" s="216" t="s">
        <v>155</v>
      </c>
      <c r="E18" s="63"/>
      <c r="F18" s="63">
        <f t="shared" si="0"/>
        <v>16000</v>
      </c>
      <c r="G18" s="207">
        <f>37.67+46.98</f>
        <v>84.65</v>
      </c>
      <c r="H18" s="64">
        <f t="shared" si="1"/>
        <v>3891.0899999999997</v>
      </c>
      <c r="I18" s="64">
        <f t="shared" si="2"/>
        <v>12108.91</v>
      </c>
    </row>
    <row r="19" spans="1:9" x14ac:dyDescent="0.2">
      <c r="A19" s="205" t="s">
        <v>154</v>
      </c>
      <c r="B19" s="214">
        <v>45699</v>
      </c>
      <c r="C19" s="215">
        <v>9500</v>
      </c>
      <c r="D19" s="217" t="s">
        <v>156</v>
      </c>
      <c r="E19" s="63"/>
      <c r="F19" s="63">
        <f t="shared" si="0"/>
        <v>16000</v>
      </c>
      <c r="G19" s="207">
        <f>55.5+844.8</f>
        <v>900.3</v>
      </c>
      <c r="H19" s="64">
        <f t="shared" si="1"/>
        <v>4791.3899999999994</v>
      </c>
      <c r="I19" s="64">
        <f t="shared" si="2"/>
        <v>11208.61</v>
      </c>
    </row>
    <row r="20" spans="1:9" x14ac:dyDescent="0.2">
      <c r="A20" s="205" t="s">
        <v>179</v>
      </c>
      <c r="B20" s="218">
        <v>45723</v>
      </c>
      <c r="C20" s="219">
        <v>2507</v>
      </c>
      <c r="D20" s="216" t="s">
        <v>180</v>
      </c>
      <c r="E20" s="63"/>
      <c r="F20" s="63">
        <f t="shared" si="0"/>
        <v>16000</v>
      </c>
      <c r="G20" s="207">
        <f>48.68+178.1</f>
        <v>226.78</v>
      </c>
      <c r="H20" s="64">
        <f t="shared" si="1"/>
        <v>5018.1699999999992</v>
      </c>
      <c r="I20" s="64">
        <f t="shared" si="2"/>
        <v>10981.83</v>
      </c>
    </row>
    <row r="21" spans="1:9" x14ac:dyDescent="0.2">
      <c r="A21" s="205" t="s">
        <v>179</v>
      </c>
      <c r="B21" s="218">
        <v>45723</v>
      </c>
      <c r="C21" s="219">
        <v>9500</v>
      </c>
      <c r="D21" s="217" t="s">
        <v>181</v>
      </c>
      <c r="E21" s="63"/>
      <c r="F21" s="63">
        <f t="shared" si="0"/>
        <v>16000</v>
      </c>
      <c r="G21" s="207">
        <f>68.5+913</f>
        <v>981.5</v>
      </c>
      <c r="H21" s="64">
        <f t="shared" si="1"/>
        <v>5999.6699999999992</v>
      </c>
      <c r="I21" s="64">
        <f t="shared" si="2"/>
        <v>10000.33</v>
      </c>
    </row>
    <row r="22" spans="1:9" x14ac:dyDescent="0.2">
      <c r="A22" s="205" t="s">
        <v>187</v>
      </c>
      <c r="B22" s="218">
        <v>45756</v>
      </c>
      <c r="C22" s="219">
        <v>2507</v>
      </c>
      <c r="D22" s="216" t="s">
        <v>188</v>
      </c>
      <c r="E22" s="63"/>
      <c r="F22" s="63">
        <f t="shared" si="0"/>
        <v>16000</v>
      </c>
      <c r="G22" s="207">
        <f>80+117.1</f>
        <v>197.1</v>
      </c>
      <c r="H22" s="64">
        <f t="shared" si="1"/>
        <v>6196.7699999999995</v>
      </c>
      <c r="I22" s="64">
        <f t="shared" si="2"/>
        <v>9803.23</v>
      </c>
    </row>
    <row r="23" spans="1:9" x14ac:dyDescent="0.2">
      <c r="A23" s="205" t="s">
        <v>187</v>
      </c>
      <c r="B23" s="218">
        <v>45756</v>
      </c>
      <c r="C23" s="219">
        <v>9500</v>
      </c>
      <c r="D23" s="217" t="s">
        <v>189</v>
      </c>
      <c r="E23" s="63"/>
      <c r="F23" s="63">
        <f t="shared" si="0"/>
        <v>16000</v>
      </c>
      <c r="G23" s="207">
        <f>110.5+1300.2</f>
        <v>1410.7</v>
      </c>
      <c r="H23" s="64">
        <f t="shared" si="1"/>
        <v>7607.4699999999993</v>
      </c>
      <c r="I23" s="64">
        <f t="shared" si="2"/>
        <v>8392.5299999999988</v>
      </c>
    </row>
    <row r="24" spans="1:9" x14ac:dyDescent="0.2">
      <c r="A24" s="205" t="s">
        <v>222</v>
      </c>
      <c r="B24" s="218">
        <v>45786</v>
      </c>
      <c r="C24" s="219">
        <v>2507</v>
      </c>
      <c r="D24" s="216" t="s">
        <v>223</v>
      </c>
      <c r="E24" s="63"/>
      <c r="F24" s="63">
        <f t="shared" si="0"/>
        <v>16000</v>
      </c>
      <c r="G24" s="207">
        <f>30.9+41.37</f>
        <v>72.27</v>
      </c>
      <c r="H24" s="64">
        <f t="shared" si="1"/>
        <v>7679.74</v>
      </c>
      <c r="I24" s="64">
        <f t="shared" si="2"/>
        <v>8320.2599999999984</v>
      </c>
    </row>
    <row r="25" spans="1:9" x14ac:dyDescent="0.2">
      <c r="A25" s="205" t="s">
        <v>222</v>
      </c>
      <c r="B25" s="218">
        <v>45786</v>
      </c>
      <c r="C25" s="219">
        <v>9500</v>
      </c>
      <c r="D25" s="217" t="s">
        <v>224</v>
      </c>
      <c r="E25" s="63"/>
      <c r="F25" s="63">
        <f t="shared" si="0"/>
        <v>16000</v>
      </c>
      <c r="G25" s="207">
        <f>38.5+456.5</f>
        <v>495</v>
      </c>
      <c r="H25" s="64">
        <f t="shared" si="1"/>
        <v>8174.74</v>
      </c>
      <c r="I25" s="64">
        <f t="shared" si="2"/>
        <v>7825.2599999999984</v>
      </c>
    </row>
    <row r="26" spans="1:9" x14ac:dyDescent="0.2">
      <c r="A26" s="205" t="s">
        <v>252</v>
      </c>
      <c r="B26" s="218">
        <v>45817</v>
      </c>
      <c r="C26" s="219">
        <v>2507</v>
      </c>
      <c r="D26" s="216" t="s">
        <v>253</v>
      </c>
      <c r="E26" s="63"/>
      <c r="F26" s="63">
        <f t="shared" si="0"/>
        <v>16000</v>
      </c>
      <c r="G26" s="207">
        <f>19.9+16.13</f>
        <v>36.03</v>
      </c>
      <c r="H26" s="64">
        <f t="shared" si="1"/>
        <v>8210.77</v>
      </c>
      <c r="I26" s="64">
        <f t="shared" si="2"/>
        <v>7789.2299999999987</v>
      </c>
    </row>
    <row r="27" spans="1:9" x14ac:dyDescent="0.2">
      <c r="A27" s="205" t="s">
        <v>252</v>
      </c>
      <c r="B27" s="218">
        <v>45817</v>
      </c>
      <c r="C27" s="219">
        <v>9500</v>
      </c>
      <c r="D27" s="217" t="s">
        <v>254</v>
      </c>
      <c r="E27" s="63"/>
      <c r="F27" s="63">
        <f t="shared" si="0"/>
        <v>16000</v>
      </c>
      <c r="G27" s="207">
        <f>23+258.5</f>
        <v>281.5</v>
      </c>
      <c r="H27" s="64">
        <f t="shared" si="1"/>
        <v>8492.27</v>
      </c>
      <c r="I27" s="64">
        <f t="shared" si="2"/>
        <v>7507.7299999999987</v>
      </c>
    </row>
    <row r="28" spans="1:9" x14ac:dyDescent="0.2">
      <c r="A28" s="205" t="s">
        <v>267</v>
      </c>
      <c r="B28" s="218">
        <v>45848</v>
      </c>
      <c r="C28" s="219">
        <v>2507</v>
      </c>
      <c r="D28" s="216" t="s">
        <v>268</v>
      </c>
      <c r="E28" s="63"/>
      <c r="F28" s="63">
        <f t="shared" si="0"/>
        <v>16000</v>
      </c>
      <c r="G28" s="207">
        <f>50.37+58.2</f>
        <v>108.57</v>
      </c>
      <c r="H28" s="64">
        <f t="shared" si="1"/>
        <v>8600.84</v>
      </c>
      <c r="I28" s="64">
        <f t="shared" si="2"/>
        <v>7399.1599999999989</v>
      </c>
    </row>
    <row r="29" spans="1:9" x14ac:dyDescent="0.2">
      <c r="A29" s="205" t="s">
        <v>267</v>
      </c>
      <c r="B29" s="218">
        <v>45848</v>
      </c>
      <c r="C29" s="219">
        <v>9500</v>
      </c>
      <c r="D29" s="217" t="s">
        <v>269</v>
      </c>
      <c r="E29" s="63"/>
      <c r="F29" s="63">
        <f t="shared" si="0"/>
        <v>16000</v>
      </c>
      <c r="G29" s="207">
        <f>75+771.1</f>
        <v>846.1</v>
      </c>
      <c r="H29" s="64">
        <f t="shared" si="1"/>
        <v>9446.94</v>
      </c>
      <c r="I29" s="64">
        <f t="shared" si="2"/>
        <v>6553.0599999999986</v>
      </c>
    </row>
    <row r="30" spans="1:9" ht="12.75" customHeight="1" x14ac:dyDescent="0.2">
      <c r="A30" s="205" t="s">
        <v>314</v>
      </c>
      <c r="B30" s="60">
        <v>45911</v>
      </c>
      <c r="C30" s="219">
        <v>2507</v>
      </c>
      <c r="D30" s="291" t="s">
        <v>315</v>
      </c>
      <c r="E30" s="63"/>
      <c r="F30" s="63">
        <f t="shared" si="0"/>
        <v>16000</v>
      </c>
      <c r="G30" s="207">
        <v>110.44</v>
      </c>
      <c r="H30" s="64">
        <f t="shared" si="1"/>
        <v>9557.380000000001</v>
      </c>
      <c r="I30" s="64">
        <f t="shared" si="2"/>
        <v>6442.619999999999</v>
      </c>
    </row>
    <row r="31" spans="1:9" ht="12.75" customHeight="1" x14ac:dyDescent="0.2">
      <c r="A31" s="205" t="s">
        <v>314</v>
      </c>
      <c r="B31" s="60">
        <v>45911</v>
      </c>
      <c r="C31" s="219">
        <v>9500</v>
      </c>
      <c r="D31" s="291" t="s">
        <v>315</v>
      </c>
      <c r="E31" s="63"/>
      <c r="F31" s="63">
        <f t="shared" si="0"/>
        <v>16000</v>
      </c>
      <c r="G31" s="207">
        <v>1211.0999999999999</v>
      </c>
      <c r="H31" s="64">
        <f t="shared" si="1"/>
        <v>10768.480000000001</v>
      </c>
      <c r="I31" s="64">
        <f t="shared" si="2"/>
        <v>5231.5199999999986</v>
      </c>
    </row>
    <row r="32" spans="1:9" ht="12.75" customHeight="1" x14ac:dyDescent="0.2">
      <c r="A32" s="205" t="s">
        <v>320</v>
      </c>
      <c r="B32" s="218">
        <v>45908</v>
      </c>
      <c r="C32" s="219">
        <v>2507</v>
      </c>
      <c r="D32" s="216" t="s">
        <v>321</v>
      </c>
      <c r="E32" s="63"/>
      <c r="F32" s="63">
        <f t="shared" si="0"/>
        <v>16000</v>
      </c>
      <c r="G32" s="207">
        <f>58.31+83.41</f>
        <v>141.72</v>
      </c>
      <c r="H32" s="64">
        <f t="shared" si="1"/>
        <v>10910.2</v>
      </c>
      <c r="I32" s="64">
        <f t="shared" si="2"/>
        <v>5089.7999999999984</v>
      </c>
    </row>
    <row r="33" spans="1:9" ht="12.75" customHeight="1" x14ac:dyDescent="0.2">
      <c r="A33" s="205" t="s">
        <v>320</v>
      </c>
      <c r="B33" s="218">
        <v>45908</v>
      </c>
      <c r="C33" s="219">
        <v>9500</v>
      </c>
      <c r="D33" s="217" t="s">
        <v>322</v>
      </c>
      <c r="E33" s="63"/>
      <c r="F33" s="63">
        <f t="shared" si="0"/>
        <v>16000</v>
      </c>
      <c r="G33" s="207">
        <f>66+1026.3</f>
        <v>1092.3</v>
      </c>
      <c r="H33" s="64">
        <f t="shared" si="1"/>
        <v>12002.5</v>
      </c>
      <c r="I33" s="64">
        <f t="shared" si="2"/>
        <v>3997.4999999999982</v>
      </c>
    </row>
    <row r="34" spans="1:9" ht="12.75" customHeight="1" x14ac:dyDescent="0.2">
      <c r="A34" s="293" t="s">
        <v>335</v>
      </c>
      <c r="B34" s="294">
        <v>45937</v>
      </c>
      <c r="C34" s="295" t="s">
        <v>336</v>
      </c>
      <c r="D34" s="216" t="s">
        <v>337</v>
      </c>
      <c r="E34" s="63"/>
      <c r="F34" s="63">
        <f t="shared" si="0"/>
        <v>16000</v>
      </c>
      <c r="G34" s="207">
        <v>209.29</v>
      </c>
      <c r="H34" s="64">
        <f t="shared" si="1"/>
        <v>12211.79</v>
      </c>
      <c r="I34" s="64">
        <f t="shared" si="2"/>
        <v>3788.2099999999982</v>
      </c>
    </row>
    <row r="35" spans="1:9" ht="12.75" customHeight="1" x14ac:dyDescent="0.25">
      <c r="A35" s="293" t="s">
        <v>335</v>
      </c>
      <c r="B35" s="294">
        <v>45937</v>
      </c>
      <c r="C35" s="296">
        <v>9500</v>
      </c>
      <c r="D35" s="84" t="s">
        <v>338</v>
      </c>
      <c r="E35" s="63"/>
      <c r="F35" s="63">
        <f t="shared" si="0"/>
        <v>16000</v>
      </c>
      <c r="G35" s="207">
        <v>1076.5999999999999</v>
      </c>
      <c r="H35" s="64">
        <f t="shared" si="1"/>
        <v>13288.390000000001</v>
      </c>
      <c r="I35" s="64">
        <f t="shared" si="2"/>
        <v>2711.6099999999983</v>
      </c>
    </row>
    <row r="36" spans="1:9" ht="12.75" customHeight="1" x14ac:dyDescent="0.2">
      <c r="A36" s="205"/>
      <c r="B36" s="218"/>
      <c r="C36" s="219"/>
      <c r="D36" s="217"/>
      <c r="E36" s="63"/>
      <c r="F36" s="63">
        <f t="shared" si="0"/>
        <v>16000</v>
      </c>
      <c r="G36" s="207"/>
      <c r="H36" s="64">
        <f t="shared" si="1"/>
        <v>13288.390000000001</v>
      </c>
      <c r="I36" s="64">
        <f t="shared" si="2"/>
        <v>2711.6099999999983</v>
      </c>
    </row>
    <row r="37" spans="1:9" ht="12.75" customHeight="1" x14ac:dyDescent="0.2">
      <c r="A37" s="205"/>
      <c r="B37" s="218"/>
      <c r="C37" s="219"/>
      <c r="D37" s="217"/>
      <c r="E37" s="63"/>
      <c r="F37" s="63">
        <f t="shared" si="0"/>
        <v>16000</v>
      </c>
      <c r="G37" s="207"/>
      <c r="H37" s="64">
        <f t="shared" si="1"/>
        <v>13288.390000000001</v>
      </c>
      <c r="I37" s="64">
        <f t="shared" si="2"/>
        <v>2711.6099999999983</v>
      </c>
    </row>
    <row r="38" spans="1:9" ht="12.75" customHeight="1" x14ac:dyDescent="0.2">
      <c r="A38" s="205"/>
      <c r="B38" s="218"/>
      <c r="C38" s="219"/>
      <c r="D38" s="217"/>
      <c r="E38" s="63"/>
      <c r="F38" s="63">
        <f t="shared" si="0"/>
        <v>16000</v>
      </c>
      <c r="G38" s="67"/>
      <c r="H38" s="64">
        <f t="shared" si="1"/>
        <v>13288.390000000001</v>
      </c>
      <c r="I38" s="64">
        <f t="shared" si="2"/>
        <v>2711.6099999999983</v>
      </c>
    </row>
    <row r="39" spans="1:9" ht="12.75" customHeight="1" x14ac:dyDescent="0.2">
      <c r="A39" s="73"/>
      <c r="B39" s="61"/>
      <c r="C39" s="61"/>
      <c r="D39" s="69"/>
      <c r="E39" s="64"/>
      <c r="F39" s="64"/>
      <c r="G39" s="64"/>
      <c r="H39" s="64"/>
      <c r="I39" s="64"/>
    </row>
    <row r="40" spans="1:9" ht="13.5" thickBot="1" x14ac:dyDescent="0.25">
      <c r="A40" s="73"/>
      <c r="B40" s="70"/>
      <c r="C40" s="70"/>
      <c r="D40" s="71" t="s">
        <v>28</v>
      </c>
      <c r="E40" s="72">
        <f>SUM(E9:E39)</f>
        <v>16000</v>
      </c>
      <c r="F40" s="72"/>
      <c r="G40" s="72">
        <f>SUM(G9:G39)</f>
        <v>13288.390000000001</v>
      </c>
      <c r="H40" s="72"/>
      <c r="I40" s="72">
        <f>E40-G40</f>
        <v>2711.6099999999988</v>
      </c>
    </row>
    <row r="41" spans="1:9" ht="13.5" thickTop="1" x14ac:dyDescent="0.2">
      <c r="A41" s="73"/>
      <c r="B41" s="61"/>
      <c r="C41" s="61"/>
      <c r="D41" s="69"/>
      <c r="E41" s="64"/>
      <c r="F41" s="64"/>
      <c r="G41" s="64"/>
      <c r="H41" s="64"/>
      <c r="I41" s="64"/>
    </row>
    <row r="42" spans="1:9" x14ac:dyDescent="0.2">
      <c r="A42" s="73"/>
      <c r="B42" s="61"/>
      <c r="C42" s="61"/>
      <c r="D42" s="69"/>
      <c r="E42" s="64"/>
      <c r="F42" s="64"/>
      <c r="G42" s="64"/>
      <c r="H42" s="64"/>
      <c r="I42" s="64"/>
    </row>
    <row r="43" spans="1:9" x14ac:dyDescent="0.2">
      <c r="A43" s="73"/>
      <c r="B43" s="61"/>
      <c r="C43" s="61"/>
      <c r="D43" s="69"/>
      <c r="E43" s="64"/>
      <c r="F43" s="64"/>
      <c r="G43" s="64"/>
      <c r="H43" s="64"/>
      <c r="I43" s="64"/>
    </row>
    <row r="44" spans="1:9" x14ac:dyDescent="0.2">
      <c r="A44" s="73"/>
      <c r="B44" s="61"/>
      <c r="C44" s="61"/>
      <c r="D44" s="69"/>
      <c r="E44" s="64"/>
      <c r="F44" s="64"/>
      <c r="G44" s="64"/>
      <c r="H44" s="64"/>
      <c r="I44" s="64"/>
    </row>
    <row r="45" spans="1:9" x14ac:dyDescent="0.2">
      <c r="A45" s="73"/>
      <c r="B45" s="61"/>
      <c r="C45" s="61"/>
      <c r="D45" s="69"/>
      <c r="E45" s="64"/>
      <c r="F45" s="64"/>
      <c r="G45" s="64"/>
      <c r="H45" s="64"/>
      <c r="I45" s="64"/>
    </row>
    <row r="46" spans="1:9" x14ac:dyDescent="0.2">
      <c r="A46" s="73"/>
      <c r="B46" s="61"/>
      <c r="C46" s="61"/>
      <c r="D46" s="69"/>
      <c r="E46" s="64"/>
      <c r="F46" s="64"/>
      <c r="G46" s="64"/>
      <c r="H46" s="64"/>
      <c r="I46" s="64"/>
    </row>
    <row r="47" spans="1:9" x14ac:dyDescent="0.2">
      <c r="A47" s="73"/>
      <c r="B47" s="61"/>
      <c r="C47" s="61"/>
      <c r="D47" s="69"/>
      <c r="E47" s="64"/>
      <c r="F47" s="64"/>
      <c r="G47" s="64"/>
      <c r="H47" s="64"/>
      <c r="I47" s="64"/>
    </row>
    <row r="48" spans="1:9" x14ac:dyDescent="0.2">
      <c r="A48" s="73"/>
      <c r="B48" s="61"/>
      <c r="C48" s="61"/>
      <c r="D48" s="69"/>
      <c r="E48" s="64"/>
      <c r="F48" s="64"/>
      <c r="G48" s="64"/>
      <c r="H48" s="64"/>
      <c r="I48" s="64"/>
    </row>
    <row r="49" spans="1:9" x14ac:dyDescent="0.2">
      <c r="A49" s="73"/>
      <c r="B49" s="61"/>
      <c r="C49" s="61"/>
      <c r="D49" s="69"/>
      <c r="E49" s="45"/>
      <c r="F49" s="74"/>
      <c r="G49" s="75"/>
      <c r="H49" s="75"/>
      <c r="I49" s="45"/>
    </row>
    <row r="50" spans="1:9" x14ac:dyDescent="0.2">
      <c r="A50" s="73"/>
      <c r="B50" s="61"/>
      <c r="C50" s="61"/>
      <c r="D50" s="69"/>
      <c r="E50" s="45"/>
      <c r="F50" s="74"/>
      <c r="G50" s="75"/>
      <c r="H50" s="75"/>
      <c r="I50" s="45"/>
    </row>
    <row r="51" spans="1:9" x14ac:dyDescent="0.2">
      <c r="A51" s="73"/>
      <c r="B51" s="61"/>
      <c r="C51" s="61"/>
      <c r="D51" s="69"/>
      <c r="E51" s="45"/>
      <c r="F51" s="74"/>
      <c r="G51" s="75"/>
      <c r="H51" s="75"/>
      <c r="I51" s="45"/>
    </row>
    <row r="52" spans="1:9" x14ac:dyDescent="0.2">
      <c r="A52" s="73"/>
      <c r="B52" s="61"/>
      <c r="C52" s="61"/>
      <c r="D52" s="69"/>
      <c r="E52" s="45"/>
      <c r="F52" s="74"/>
      <c r="G52" s="75"/>
      <c r="H52" s="75"/>
      <c r="I52" s="45"/>
    </row>
    <row r="53" spans="1:9" x14ac:dyDescent="0.2">
      <c r="A53" s="73"/>
      <c r="B53" s="61"/>
      <c r="C53" s="61"/>
      <c r="D53" s="69"/>
      <c r="E53" s="45"/>
      <c r="F53" s="74"/>
      <c r="G53" s="75"/>
      <c r="H53" s="75"/>
      <c r="I53" s="45"/>
    </row>
    <row r="54" spans="1:9" x14ac:dyDescent="0.2">
      <c r="A54" s="73"/>
      <c r="B54" s="61"/>
      <c r="C54" s="61"/>
      <c r="D54" s="69"/>
      <c r="E54" s="45"/>
      <c r="F54" s="74"/>
      <c r="G54" s="75"/>
      <c r="H54" s="75"/>
      <c r="I54" s="45"/>
    </row>
    <row r="55" spans="1:9" x14ac:dyDescent="0.2">
      <c r="A55" s="73"/>
      <c r="B55" s="61"/>
      <c r="C55" s="61"/>
      <c r="D55" s="69"/>
      <c r="E55" s="45"/>
      <c r="F55" s="74"/>
      <c r="G55" s="75"/>
      <c r="H55" s="75"/>
      <c r="I55" s="45"/>
    </row>
    <row r="56" spans="1:9" x14ac:dyDescent="0.2">
      <c r="A56" s="73"/>
      <c r="B56" s="61"/>
      <c r="C56" s="61"/>
      <c r="D56" s="69"/>
      <c r="E56" s="45"/>
      <c r="F56" s="74"/>
      <c r="G56" s="75"/>
      <c r="H56" s="75"/>
      <c r="I56" s="45"/>
    </row>
    <row r="57" spans="1:9" x14ac:dyDescent="0.2">
      <c r="A57" s="73"/>
      <c r="B57" s="61"/>
      <c r="C57" s="61"/>
      <c r="D57" s="69"/>
      <c r="E57" s="45"/>
      <c r="F57" s="74"/>
      <c r="G57" s="75"/>
      <c r="H57" s="75"/>
      <c r="I57" s="45"/>
    </row>
    <row r="58" spans="1:9" x14ac:dyDescent="0.2">
      <c r="A58" s="73"/>
      <c r="B58" s="61"/>
      <c r="C58" s="61"/>
      <c r="D58" s="69"/>
      <c r="E58" s="45"/>
      <c r="F58" s="74"/>
      <c r="G58" s="75"/>
      <c r="H58" s="75"/>
      <c r="I58" s="45"/>
    </row>
    <row r="59" spans="1:9" x14ac:dyDescent="0.2">
      <c r="F59" s="79"/>
    </row>
    <row r="60" spans="1:9" x14ac:dyDescent="0.2">
      <c r="F60" s="79"/>
    </row>
    <row r="61" spans="1:9" x14ac:dyDescent="0.2">
      <c r="F61" s="79"/>
    </row>
    <row r="62" spans="1:9" x14ac:dyDescent="0.2">
      <c r="F62" s="79"/>
    </row>
    <row r="63" spans="1:9" x14ac:dyDescent="0.2">
      <c r="F63" s="79"/>
    </row>
    <row r="64" spans="1:9"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6/30/2028&amp;C&amp;Z&amp;F&amp;R&amp;P/&amp;N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
  <sheetViews>
    <sheetView zoomScaleNormal="100" workbookViewId="0">
      <selection activeCell="B57" sqref="B57"/>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27.85546875" style="45" customWidth="1"/>
    <col min="6" max="6" width="13.5703125" style="75" customWidth="1"/>
    <col min="7" max="7" width="12.42578125" style="75" customWidth="1"/>
    <col min="8" max="8" width="15.42578125" style="75" customWidth="1"/>
    <col min="9" max="16384" width="11.42578125" style="45"/>
  </cols>
  <sheetData>
    <row r="1" spans="1:30" s="5" customFormat="1" ht="24.75" customHeight="1" x14ac:dyDescent="0.25">
      <c r="A1" s="2" t="str">
        <f>'RECAP #9436.00'!B1</f>
        <v>DAS TH Residence Elevator Replacement</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#9436.00'!B2</f>
        <v>Project # 9436.00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#9436.00'!B3</f>
        <v>Program code 943600</v>
      </c>
      <c r="E3" s="8" t="str">
        <f>'RECAP #9436.00'!E3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164</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#9436.00'!B6</f>
        <v>Project Manager - James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203</v>
      </c>
      <c r="B9" s="60">
        <v>45770</v>
      </c>
      <c r="C9" s="74" t="s">
        <v>204</v>
      </c>
      <c r="D9" s="74" t="s">
        <v>205</v>
      </c>
      <c r="E9" s="91" t="s">
        <v>206</v>
      </c>
      <c r="F9" s="92" t="s">
        <v>207</v>
      </c>
      <c r="G9" s="207">
        <v>694</v>
      </c>
      <c r="H9" s="75">
        <f>G9</f>
        <v>694</v>
      </c>
    </row>
    <row r="10" spans="1:30" x14ac:dyDescent="0.2">
      <c r="A10" s="93"/>
      <c r="B10" s="60"/>
      <c r="F10" s="28"/>
      <c r="H10" s="75">
        <f>H9+G10</f>
        <v>694</v>
      </c>
    </row>
    <row r="11" spans="1:30" x14ac:dyDescent="0.2">
      <c r="A11" s="93"/>
      <c r="B11" s="60"/>
      <c r="C11" s="60"/>
      <c r="D11" s="60"/>
      <c r="F11" s="28"/>
      <c r="H11" s="75">
        <f t="shared" ref="H11:H20" si="0">H10+G11</f>
        <v>694</v>
      </c>
    </row>
    <row r="12" spans="1:30" x14ac:dyDescent="0.2">
      <c r="A12" s="93" t="s">
        <v>5</v>
      </c>
      <c r="B12" s="60" t="s">
        <v>5</v>
      </c>
      <c r="C12" s="60"/>
      <c r="D12" s="60"/>
      <c r="E12" s="45" t="s">
        <v>5</v>
      </c>
      <c r="F12" s="28"/>
      <c r="H12" s="75">
        <f t="shared" si="0"/>
        <v>694</v>
      </c>
    </row>
    <row r="13" spans="1:30" x14ac:dyDescent="0.2">
      <c r="A13" s="93" t="s">
        <v>5</v>
      </c>
      <c r="B13" s="60" t="s">
        <v>5</v>
      </c>
      <c r="C13" s="60"/>
      <c r="D13" s="60"/>
      <c r="E13" s="45" t="s">
        <v>5</v>
      </c>
      <c r="F13" s="28"/>
      <c r="H13" s="75">
        <f t="shared" si="0"/>
        <v>694</v>
      </c>
    </row>
    <row r="14" spans="1:30" x14ac:dyDescent="0.2">
      <c r="A14" s="93"/>
      <c r="B14" s="60"/>
      <c r="C14" s="60"/>
      <c r="D14" s="60"/>
      <c r="F14" s="28"/>
      <c r="H14" s="75">
        <f t="shared" si="0"/>
        <v>694</v>
      </c>
    </row>
    <row r="15" spans="1:30" x14ac:dyDescent="0.2">
      <c r="A15" s="93"/>
      <c r="B15" s="60"/>
      <c r="C15" s="60"/>
      <c r="D15" s="60"/>
      <c r="E15" s="94"/>
      <c r="F15" s="28"/>
      <c r="H15" s="75">
        <f t="shared" si="0"/>
        <v>694</v>
      </c>
    </row>
    <row r="16" spans="1:30" x14ac:dyDescent="0.2">
      <c r="A16" s="93"/>
      <c r="B16" s="60"/>
      <c r="C16" s="60"/>
      <c r="D16" s="60"/>
      <c r="F16" s="28"/>
      <c r="H16" s="75">
        <f t="shared" si="0"/>
        <v>694</v>
      </c>
    </row>
    <row r="17" spans="1:30" x14ac:dyDescent="0.2">
      <c r="B17" s="60"/>
      <c r="C17" s="60"/>
      <c r="D17" s="60"/>
      <c r="F17" s="28"/>
      <c r="H17" s="75">
        <f t="shared" si="0"/>
        <v>694</v>
      </c>
    </row>
    <row r="18" spans="1:30" x14ac:dyDescent="0.2">
      <c r="B18" s="60"/>
      <c r="C18" s="60"/>
      <c r="D18" s="60"/>
      <c r="F18" s="28"/>
      <c r="H18" s="75">
        <f t="shared" si="0"/>
        <v>694</v>
      </c>
    </row>
    <row r="19" spans="1:30" x14ac:dyDescent="0.2">
      <c r="B19" s="60"/>
      <c r="C19" s="60"/>
      <c r="D19" s="60"/>
      <c r="F19" s="28"/>
      <c r="H19" s="75">
        <f t="shared" si="0"/>
        <v>694</v>
      </c>
    </row>
    <row r="20" spans="1:30" x14ac:dyDescent="0.2">
      <c r="B20" s="60"/>
      <c r="C20" s="60"/>
      <c r="D20" s="60"/>
      <c r="F20" s="28"/>
      <c r="H20" s="75">
        <f t="shared" si="0"/>
        <v>694</v>
      </c>
    </row>
    <row r="21" spans="1:30" x14ac:dyDescent="0.2">
      <c r="G21" s="45"/>
    </row>
    <row r="22" spans="1:30" s="94" customFormat="1" ht="16.5" thickBot="1" x14ac:dyDescent="0.3">
      <c r="A22" s="95"/>
      <c r="B22" s="96"/>
      <c r="C22" s="96"/>
      <c r="D22" s="96"/>
      <c r="E22" s="97" t="s">
        <v>28</v>
      </c>
      <c r="F22" s="98"/>
      <c r="G22" s="72">
        <f>SUM(G9:G21)</f>
        <v>694</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8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29"/>
  <sheetViews>
    <sheetView zoomScaleNormal="100" workbookViewId="0">
      <selection activeCell="K28" sqref="K2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6.8554687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96</v>
      </c>
      <c r="E5" s="45"/>
      <c r="F5" s="46"/>
      <c r="G5" s="47"/>
      <c r="H5" s="42"/>
    </row>
    <row r="6" spans="1:9" s="35" customFormat="1" ht="15.75" x14ac:dyDescent="0.25">
      <c r="A6" s="13" t="str">
        <f>'RECAP #9436.00'!B6</f>
        <v>Project Manager - James T.</v>
      </c>
      <c r="B6" s="11"/>
      <c r="C6" s="48"/>
      <c r="D6" s="49" t="s">
        <v>97</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98</v>
      </c>
      <c r="B9" s="60">
        <v>45582</v>
      </c>
      <c r="C9" s="61" t="s">
        <v>88</v>
      </c>
      <c r="D9" s="204">
        <v>74850</v>
      </c>
      <c r="E9" s="63">
        <f>D9</f>
        <v>74850</v>
      </c>
      <c r="F9" s="64"/>
      <c r="G9" s="64"/>
      <c r="H9" s="64">
        <f>E9</f>
        <v>74850</v>
      </c>
    </row>
    <row r="10" spans="1:9" x14ac:dyDescent="0.2">
      <c r="A10" s="59" t="s">
        <v>112</v>
      </c>
      <c r="B10" s="66">
        <v>45644</v>
      </c>
      <c r="C10" s="61" t="s">
        <v>113</v>
      </c>
      <c r="D10" s="63"/>
      <c r="E10" s="63">
        <f t="shared" ref="E10:E23" si="0">E9+D10</f>
        <v>74850</v>
      </c>
      <c r="F10" s="207">
        <v>28409.32</v>
      </c>
      <c r="G10" s="64">
        <f t="shared" ref="G10:G23" si="1">G9+F10</f>
        <v>28409.32</v>
      </c>
      <c r="H10" s="64">
        <f t="shared" ref="H10:H23" si="2">H9-F10+D10</f>
        <v>46440.68</v>
      </c>
    </row>
    <row r="11" spans="1:9" x14ac:dyDescent="0.2">
      <c r="A11" s="59" t="s">
        <v>145</v>
      </c>
      <c r="B11" s="60">
        <v>45671</v>
      </c>
      <c r="C11" s="61" t="s">
        <v>146</v>
      </c>
      <c r="D11" s="63"/>
      <c r="E11" s="63">
        <f t="shared" si="0"/>
        <v>74850</v>
      </c>
      <c r="F11" s="207">
        <v>16103.98</v>
      </c>
      <c r="G11" s="64">
        <f t="shared" si="1"/>
        <v>44513.3</v>
      </c>
      <c r="H11" s="64">
        <f t="shared" si="2"/>
        <v>30336.7</v>
      </c>
    </row>
    <row r="12" spans="1:9" x14ac:dyDescent="0.2">
      <c r="A12" s="59" t="s">
        <v>175</v>
      </c>
      <c r="B12" s="60">
        <v>45721</v>
      </c>
      <c r="C12" s="61" t="s">
        <v>176</v>
      </c>
      <c r="D12" s="63"/>
      <c r="E12" s="63">
        <f t="shared" si="0"/>
        <v>74850</v>
      </c>
      <c r="F12" s="207">
        <v>5475.65</v>
      </c>
      <c r="G12" s="64">
        <f t="shared" si="1"/>
        <v>49988.950000000004</v>
      </c>
      <c r="H12" s="64">
        <f t="shared" si="2"/>
        <v>24861.050000000003</v>
      </c>
    </row>
    <row r="13" spans="1:9" x14ac:dyDescent="0.2">
      <c r="A13" s="59" t="s">
        <v>184</v>
      </c>
      <c r="B13" s="60">
        <v>45730</v>
      </c>
      <c r="C13" s="61" t="s">
        <v>185</v>
      </c>
      <c r="D13" s="63"/>
      <c r="E13" s="63">
        <f t="shared" si="0"/>
        <v>74850</v>
      </c>
      <c r="F13" s="207">
        <v>6156.05</v>
      </c>
      <c r="G13" s="64">
        <f t="shared" si="1"/>
        <v>56145.000000000007</v>
      </c>
      <c r="H13" s="64">
        <f t="shared" si="2"/>
        <v>18705.000000000004</v>
      </c>
    </row>
    <row r="14" spans="1:9" x14ac:dyDescent="0.2">
      <c r="A14" s="59" t="s">
        <v>190</v>
      </c>
      <c r="B14" s="60">
        <v>45762</v>
      </c>
      <c r="C14" s="61" t="s">
        <v>191</v>
      </c>
      <c r="D14" s="63"/>
      <c r="E14" s="63">
        <f t="shared" si="0"/>
        <v>74850</v>
      </c>
      <c r="F14" s="207">
        <v>1877.78</v>
      </c>
      <c r="G14" s="64">
        <f t="shared" si="1"/>
        <v>58022.780000000006</v>
      </c>
      <c r="H14" s="64">
        <f t="shared" si="2"/>
        <v>16827.220000000005</v>
      </c>
    </row>
    <row r="15" spans="1:9" x14ac:dyDescent="0.2">
      <c r="A15" s="59" t="s">
        <v>218</v>
      </c>
      <c r="B15" s="60">
        <v>45785</v>
      </c>
      <c r="C15" s="61" t="s">
        <v>219</v>
      </c>
      <c r="D15" s="63"/>
      <c r="E15" s="63">
        <f t="shared" si="0"/>
        <v>74850</v>
      </c>
      <c r="F15" s="207">
        <v>2231.4699999999998</v>
      </c>
      <c r="G15" s="64">
        <f t="shared" si="1"/>
        <v>60254.250000000007</v>
      </c>
      <c r="H15" s="64">
        <f t="shared" si="2"/>
        <v>14595.750000000005</v>
      </c>
    </row>
    <row r="16" spans="1:9" x14ac:dyDescent="0.2">
      <c r="A16" s="59" t="s">
        <v>257</v>
      </c>
      <c r="B16" s="60">
        <v>45827</v>
      </c>
      <c r="C16" s="61" t="s">
        <v>258</v>
      </c>
      <c r="D16" s="63"/>
      <c r="E16" s="63">
        <f t="shared" si="0"/>
        <v>74850</v>
      </c>
      <c r="F16" s="207">
        <v>2151.94</v>
      </c>
      <c r="G16" s="64">
        <f t="shared" si="1"/>
        <v>62406.19000000001</v>
      </c>
      <c r="H16" s="64">
        <f t="shared" si="2"/>
        <v>12443.810000000005</v>
      </c>
    </row>
    <row r="17" spans="1:10" x14ac:dyDescent="0.2">
      <c r="A17" s="276" t="s">
        <v>272</v>
      </c>
      <c r="B17" s="277">
        <v>45849</v>
      </c>
      <c r="C17" s="278" t="s">
        <v>273</v>
      </c>
      <c r="D17" s="279"/>
      <c r="E17" s="279">
        <f t="shared" si="0"/>
        <v>74850</v>
      </c>
      <c r="F17" s="280">
        <v>2151.94</v>
      </c>
      <c r="G17" s="281">
        <f t="shared" si="1"/>
        <v>64558.130000000012</v>
      </c>
      <c r="H17" s="281">
        <f t="shared" si="2"/>
        <v>10291.870000000004</v>
      </c>
      <c r="I17" s="282" t="s">
        <v>289</v>
      </c>
    </row>
    <row r="18" spans="1:10" x14ac:dyDescent="0.2">
      <c r="A18" s="59" t="s">
        <v>290</v>
      </c>
      <c r="B18" s="60">
        <v>45891</v>
      </c>
      <c r="C18" s="61" t="s">
        <v>291</v>
      </c>
      <c r="D18" s="204">
        <v>0</v>
      </c>
      <c r="E18" s="63">
        <f t="shared" si="0"/>
        <v>74850</v>
      </c>
      <c r="F18" s="67"/>
      <c r="G18" s="64">
        <f t="shared" si="1"/>
        <v>64558.130000000012</v>
      </c>
      <c r="H18" s="64">
        <f t="shared" si="2"/>
        <v>10291.870000000004</v>
      </c>
    </row>
    <row r="19" spans="1:10" x14ac:dyDescent="0.2">
      <c r="A19" s="59" t="s">
        <v>312</v>
      </c>
      <c r="B19" s="60">
        <v>45910</v>
      </c>
      <c r="C19" s="61" t="s">
        <v>313</v>
      </c>
      <c r="D19" s="63"/>
      <c r="E19" s="63">
        <f t="shared" si="0"/>
        <v>74850</v>
      </c>
      <c r="F19" s="207">
        <v>2432.62</v>
      </c>
      <c r="G19" s="64">
        <f t="shared" si="1"/>
        <v>66990.750000000015</v>
      </c>
      <c r="H19" s="64">
        <f t="shared" si="2"/>
        <v>7859.2500000000045</v>
      </c>
    </row>
    <row r="20" spans="1:10" x14ac:dyDescent="0.2">
      <c r="A20" s="59" t="s">
        <v>318</v>
      </c>
      <c r="B20" s="60">
        <v>45916</v>
      </c>
      <c r="C20" s="61" t="s">
        <v>319</v>
      </c>
      <c r="D20" s="63"/>
      <c r="E20" s="63">
        <f t="shared" si="0"/>
        <v>74850</v>
      </c>
      <c r="F20" s="207">
        <v>2245.5</v>
      </c>
      <c r="G20" s="64">
        <f t="shared" si="1"/>
        <v>69236.250000000015</v>
      </c>
      <c r="H20" s="64">
        <f t="shared" si="2"/>
        <v>5613.7500000000045</v>
      </c>
    </row>
    <row r="21" spans="1:10" x14ac:dyDescent="0.2">
      <c r="A21" s="59" t="s">
        <v>339</v>
      </c>
      <c r="B21" s="60">
        <v>45938</v>
      </c>
      <c r="C21" s="61" t="s">
        <v>340</v>
      </c>
      <c r="D21" s="63"/>
      <c r="E21" s="63">
        <f t="shared" si="0"/>
        <v>74850</v>
      </c>
      <c r="F21" s="207">
        <v>2245.5</v>
      </c>
      <c r="G21" s="64">
        <f t="shared" si="1"/>
        <v>71481.750000000015</v>
      </c>
      <c r="H21" s="64">
        <f t="shared" si="2"/>
        <v>3368.2500000000045</v>
      </c>
    </row>
    <row r="22" spans="1:10" x14ac:dyDescent="0.2">
      <c r="A22" s="59"/>
      <c r="B22" s="60"/>
      <c r="C22" s="61"/>
      <c r="D22" s="63"/>
      <c r="E22" s="63">
        <f t="shared" si="0"/>
        <v>74850</v>
      </c>
      <c r="F22" s="207"/>
      <c r="G22" s="64">
        <f t="shared" si="1"/>
        <v>71481.750000000015</v>
      </c>
      <c r="H22" s="64">
        <f t="shared" si="2"/>
        <v>3368.2500000000045</v>
      </c>
    </row>
    <row r="23" spans="1:10" x14ac:dyDescent="0.2">
      <c r="A23" s="59"/>
      <c r="B23" s="60"/>
      <c r="C23" s="68"/>
      <c r="D23" s="63"/>
      <c r="E23" s="63">
        <f t="shared" si="0"/>
        <v>74850</v>
      </c>
      <c r="F23" s="64"/>
      <c r="G23" s="64">
        <f t="shared" si="1"/>
        <v>71481.750000000015</v>
      </c>
      <c r="H23" s="64">
        <f t="shared" si="2"/>
        <v>3368.2500000000045</v>
      </c>
    </row>
    <row r="24" spans="1:10" x14ac:dyDescent="0.2">
      <c r="A24" s="59"/>
      <c r="B24" s="61"/>
      <c r="C24" s="69"/>
      <c r="D24" s="64"/>
      <c r="E24" s="64"/>
      <c r="F24" s="64"/>
      <c r="G24" s="64"/>
      <c r="H24" s="64"/>
    </row>
    <row r="25" spans="1:10" ht="13.5" thickBot="1" x14ac:dyDescent="0.25">
      <c r="A25" s="59"/>
      <c r="B25" s="70"/>
      <c r="C25" s="71" t="s">
        <v>28</v>
      </c>
      <c r="D25" s="72">
        <f>SUM(D9:D24)</f>
        <v>74850</v>
      </c>
      <c r="E25" s="72"/>
      <c r="F25" s="72">
        <f>SUM(F9:F24)</f>
        <v>71481.750000000015</v>
      </c>
      <c r="G25" s="72"/>
      <c r="H25" s="72">
        <f>D25-F25</f>
        <v>3368.2499999999854</v>
      </c>
    </row>
    <row r="26" spans="1:10" ht="13.5" thickTop="1" x14ac:dyDescent="0.2">
      <c r="A26" s="73"/>
      <c r="B26" s="61"/>
      <c r="C26" s="69"/>
      <c r="D26" s="64"/>
      <c r="E26" s="64"/>
      <c r="F26" s="64"/>
      <c r="G26" s="64"/>
      <c r="H26" s="64"/>
    </row>
    <row r="27" spans="1:10" x14ac:dyDescent="0.2">
      <c r="A27" s="73"/>
      <c r="B27" s="61"/>
      <c r="C27" s="69"/>
      <c r="D27" s="64"/>
      <c r="E27" s="64"/>
      <c r="F27" s="64"/>
      <c r="G27" s="64"/>
      <c r="H27" s="64"/>
    </row>
    <row r="28" spans="1:10" x14ac:dyDescent="0.2">
      <c r="A28" s="73"/>
      <c r="B28" s="61"/>
      <c r="C28" s="200"/>
      <c r="D28" s="201"/>
      <c r="E28" s="201"/>
      <c r="F28" s="201"/>
      <c r="G28" s="201"/>
      <c r="H28" s="201"/>
      <c r="I28" s="202"/>
      <c r="J28" s="202"/>
    </row>
    <row r="29" spans="1:10" x14ac:dyDescent="0.2">
      <c r="A29" s="73"/>
      <c r="B29" s="61"/>
      <c r="C29" s="200"/>
      <c r="D29" s="201"/>
      <c r="E29" s="201"/>
      <c r="F29" s="201"/>
      <c r="G29" s="201"/>
      <c r="H29" s="201"/>
      <c r="I29" s="202"/>
      <c r="J29" s="202"/>
    </row>
    <row r="30" spans="1:10" x14ac:dyDescent="0.2">
      <c r="A30" s="73"/>
      <c r="B30" s="61"/>
      <c r="C30" s="200"/>
      <c r="D30" s="201"/>
      <c r="E30" s="201"/>
      <c r="F30" s="201"/>
      <c r="G30" s="201"/>
      <c r="H30" s="201"/>
      <c r="I30" s="202"/>
      <c r="J30" s="202"/>
    </row>
    <row r="31" spans="1:10" x14ac:dyDescent="0.2">
      <c r="A31" s="73"/>
      <c r="B31" s="61"/>
      <c r="C31" s="200"/>
      <c r="D31" s="203"/>
      <c r="E31" s="201"/>
      <c r="F31" s="203"/>
      <c r="G31" s="201"/>
      <c r="H31" s="203"/>
      <c r="I31" s="202"/>
      <c r="J31" s="202"/>
    </row>
    <row r="32" spans="1:10" x14ac:dyDescent="0.2">
      <c r="A32" s="73"/>
      <c r="B32" s="61"/>
      <c r="C32" s="69"/>
      <c r="D32" s="64"/>
      <c r="E32" s="64"/>
      <c r="F32" s="64"/>
      <c r="G32" s="64"/>
      <c r="H32" s="64"/>
    </row>
    <row r="33" spans="1:8" x14ac:dyDescent="0.2">
      <c r="A33" s="73"/>
      <c r="B33" s="61"/>
      <c r="C33" s="69"/>
      <c r="D33" s="64"/>
      <c r="E33" s="64"/>
      <c r="F33" s="64"/>
      <c r="G33" s="64"/>
      <c r="H33" s="64"/>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A43" s="73"/>
      <c r="B43" s="61"/>
      <c r="C43" s="69"/>
      <c r="D43" s="45"/>
      <c r="E43" s="74"/>
      <c r="F43" s="75"/>
      <c r="G43" s="75"/>
      <c r="H43" s="45"/>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row r="628" spans="5:5" x14ac:dyDescent="0.2">
      <c r="E628" s="79"/>
    </row>
    <row r="629" spans="5:5" x14ac:dyDescent="0.2">
      <c r="E629" s="79"/>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A74E-652D-486B-BCA1-42C5AE8BFA33}">
  <sheetPr>
    <pageSetUpPr fitToPage="1"/>
  </sheetPr>
  <dimension ref="A1:J627"/>
  <sheetViews>
    <sheetView zoomScaleNormal="100" workbookViewId="0">
      <selection activeCell="M12" sqref="M12"/>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7109375" style="65" customWidth="1"/>
    <col min="10" max="10" width="6.2851562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159</v>
      </c>
      <c r="B4" s="37"/>
      <c r="C4" s="38"/>
      <c r="D4" s="39" t="s">
        <v>160</v>
      </c>
      <c r="E4" s="40"/>
      <c r="F4" s="34"/>
      <c r="G4" s="34"/>
    </row>
    <row r="5" spans="1:10" s="35" customFormat="1" ht="15.75" x14ac:dyDescent="0.25">
      <c r="A5" s="41" t="s">
        <v>86</v>
      </c>
      <c r="B5" s="42"/>
      <c r="C5" s="43"/>
      <c r="D5" s="44" t="s">
        <v>161</v>
      </c>
      <c r="E5" s="45"/>
      <c r="F5" s="46"/>
      <c r="G5" s="47"/>
      <c r="H5" s="42"/>
    </row>
    <row r="6" spans="1:10" s="35" customFormat="1" ht="15.75" x14ac:dyDescent="0.25">
      <c r="A6" s="13" t="str">
        <f>'RECAP #9436.00'!B6</f>
        <v>Project Manager - James T.</v>
      </c>
      <c r="B6" s="11"/>
      <c r="C6" s="48"/>
      <c r="D6" s="49" t="s">
        <v>162</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186</v>
      </c>
    </row>
    <row r="9" spans="1:10" x14ac:dyDescent="0.2">
      <c r="A9" s="59" t="s">
        <v>163</v>
      </c>
      <c r="B9" s="60">
        <v>45709</v>
      </c>
      <c r="C9" s="61" t="s">
        <v>88</v>
      </c>
      <c r="D9" s="204">
        <v>29800</v>
      </c>
      <c r="E9" s="63">
        <f>D9</f>
        <v>29800</v>
      </c>
      <c r="F9" s="64"/>
      <c r="G9" s="64"/>
      <c r="H9" s="64">
        <f>E9</f>
        <v>29800</v>
      </c>
      <c r="I9" s="221"/>
    </row>
    <row r="10" spans="1:10" x14ac:dyDescent="0.2">
      <c r="A10" s="276" t="s">
        <v>248</v>
      </c>
      <c r="B10" s="284">
        <v>45813</v>
      </c>
      <c r="C10" s="278" t="s">
        <v>249</v>
      </c>
      <c r="D10" s="279"/>
      <c r="E10" s="279">
        <f t="shared" ref="E10:E21" si="0">E9+D10</f>
        <v>29800</v>
      </c>
      <c r="F10" s="280">
        <v>7805.44</v>
      </c>
      <c r="G10" s="281">
        <f t="shared" ref="G10:G21" si="1">G9+F10</f>
        <v>7805.44</v>
      </c>
      <c r="H10" s="281">
        <f t="shared" ref="H10:H21" si="2">H9-F10+D10</f>
        <v>21994.560000000001</v>
      </c>
      <c r="I10" s="285">
        <f>410.81</f>
        <v>410.81</v>
      </c>
      <c r="J10" s="282" t="s">
        <v>289</v>
      </c>
    </row>
    <row r="11" spans="1:10" x14ac:dyDescent="0.2">
      <c r="A11" s="59" t="s">
        <v>292</v>
      </c>
      <c r="B11" s="60">
        <v>45891</v>
      </c>
      <c r="C11" s="61" t="s">
        <v>291</v>
      </c>
      <c r="D11" s="204">
        <v>0</v>
      </c>
      <c r="E11" s="63">
        <f t="shared" si="0"/>
        <v>29800</v>
      </c>
      <c r="F11" s="207"/>
      <c r="G11" s="64">
        <f t="shared" si="1"/>
        <v>7805.44</v>
      </c>
      <c r="H11" s="64">
        <f t="shared" si="2"/>
        <v>21994.560000000001</v>
      </c>
      <c r="I11" s="221"/>
    </row>
    <row r="12" spans="1:10" x14ac:dyDescent="0.2">
      <c r="A12" s="59" t="s">
        <v>326</v>
      </c>
      <c r="B12" s="60">
        <v>45922</v>
      </c>
      <c r="C12" s="61" t="s">
        <v>325</v>
      </c>
      <c r="D12" s="63"/>
      <c r="E12" s="63">
        <f t="shared" si="0"/>
        <v>29800</v>
      </c>
      <c r="F12" s="292">
        <v>6728.37</v>
      </c>
      <c r="G12" s="64">
        <f t="shared" si="1"/>
        <v>14533.81</v>
      </c>
      <c r="H12" s="64">
        <f t="shared" si="2"/>
        <v>15266.190000000002</v>
      </c>
      <c r="I12" s="273">
        <f>I10+354.13</f>
        <v>764.94</v>
      </c>
    </row>
    <row r="13" spans="1:10" x14ac:dyDescent="0.2">
      <c r="A13" s="59"/>
      <c r="B13" s="60"/>
      <c r="C13" s="61"/>
      <c r="D13" s="63"/>
      <c r="E13" s="63">
        <f t="shared" si="0"/>
        <v>29800</v>
      </c>
      <c r="F13" s="67"/>
      <c r="G13" s="64">
        <f t="shared" si="1"/>
        <v>14533.81</v>
      </c>
      <c r="H13" s="64">
        <f t="shared" si="2"/>
        <v>15266.190000000002</v>
      </c>
      <c r="I13" s="221"/>
    </row>
    <row r="14" spans="1:10" x14ac:dyDescent="0.2">
      <c r="A14" s="59"/>
      <c r="B14" s="60"/>
      <c r="C14" s="61"/>
      <c r="D14" s="63"/>
      <c r="E14" s="63">
        <f t="shared" si="0"/>
        <v>29800</v>
      </c>
      <c r="F14" s="64"/>
      <c r="G14" s="64">
        <f t="shared" si="1"/>
        <v>14533.81</v>
      </c>
      <c r="H14" s="64">
        <f t="shared" si="2"/>
        <v>15266.190000000002</v>
      </c>
      <c r="I14" s="221"/>
    </row>
    <row r="15" spans="1:10" x14ac:dyDescent="0.2">
      <c r="A15" s="59"/>
      <c r="B15" s="60"/>
      <c r="C15" s="61"/>
      <c r="D15" s="63"/>
      <c r="E15" s="63">
        <f t="shared" si="0"/>
        <v>29800</v>
      </c>
      <c r="F15" s="67"/>
      <c r="G15" s="64">
        <f t="shared" si="1"/>
        <v>14533.81</v>
      </c>
      <c r="H15" s="64">
        <f t="shared" si="2"/>
        <v>15266.190000000002</v>
      </c>
      <c r="I15" s="221"/>
    </row>
    <row r="16" spans="1:10" x14ac:dyDescent="0.2">
      <c r="A16" s="59"/>
      <c r="B16" s="60"/>
      <c r="C16" s="61"/>
      <c r="D16" s="63"/>
      <c r="E16" s="63">
        <f t="shared" si="0"/>
        <v>29800</v>
      </c>
      <c r="F16" s="67"/>
      <c r="G16" s="64">
        <f t="shared" si="1"/>
        <v>14533.81</v>
      </c>
      <c r="H16" s="64">
        <f t="shared" si="2"/>
        <v>15266.190000000002</v>
      </c>
      <c r="I16" s="221"/>
    </row>
    <row r="17" spans="1:10" x14ac:dyDescent="0.2">
      <c r="A17" s="59"/>
      <c r="B17" s="60"/>
      <c r="C17" s="61"/>
      <c r="D17" s="63"/>
      <c r="E17" s="63">
        <f t="shared" si="0"/>
        <v>29800</v>
      </c>
      <c r="F17" s="67"/>
      <c r="G17" s="64">
        <f t="shared" si="1"/>
        <v>14533.81</v>
      </c>
      <c r="H17" s="64">
        <f t="shared" si="2"/>
        <v>15266.190000000002</v>
      </c>
      <c r="I17" s="221"/>
    </row>
    <row r="18" spans="1:10" x14ac:dyDescent="0.2">
      <c r="A18" s="59"/>
      <c r="B18" s="60"/>
      <c r="C18" s="61"/>
      <c r="D18" s="63"/>
      <c r="E18" s="63">
        <f t="shared" si="0"/>
        <v>29800</v>
      </c>
      <c r="F18" s="67"/>
      <c r="G18" s="64">
        <f t="shared" si="1"/>
        <v>14533.81</v>
      </c>
      <c r="H18" s="64">
        <f t="shared" si="2"/>
        <v>15266.190000000002</v>
      </c>
      <c r="I18" s="221"/>
    </row>
    <row r="19" spans="1:10" x14ac:dyDescent="0.2">
      <c r="A19" s="59"/>
      <c r="B19" s="60"/>
      <c r="C19" s="61"/>
      <c r="D19" s="63"/>
      <c r="E19" s="63">
        <f t="shared" si="0"/>
        <v>29800</v>
      </c>
      <c r="F19" s="64"/>
      <c r="G19" s="64">
        <f t="shared" si="1"/>
        <v>14533.81</v>
      </c>
      <c r="H19" s="64">
        <f t="shared" si="2"/>
        <v>15266.190000000002</v>
      </c>
      <c r="I19" s="221"/>
    </row>
    <row r="20" spans="1:10" x14ac:dyDescent="0.2">
      <c r="A20" s="59"/>
      <c r="B20" s="60"/>
      <c r="C20" s="61"/>
      <c r="D20" s="63"/>
      <c r="E20" s="63">
        <f t="shared" si="0"/>
        <v>29800</v>
      </c>
      <c r="F20" s="64"/>
      <c r="G20" s="64">
        <f t="shared" si="1"/>
        <v>14533.81</v>
      </c>
      <c r="H20" s="64">
        <f t="shared" si="2"/>
        <v>15266.190000000002</v>
      </c>
      <c r="I20" s="221"/>
    </row>
    <row r="21" spans="1:10" x14ac:dyDescent="0.2">
      <c r="A21" s="59"/>
      <c r="B21" s="60"/>
      <c r="C21" s="68"/>
      <c r="D21" s="63"/>
      <c r="E21" s="63">
        <f t="shared" si="0"/>
        <v>29800</v>
      </c>
      <c r="F21" s="64"/>
      <c r="G21" s="64">
        <f t="shared" si="1"/>
        <v>14533.81</v>
      </c>
      <c r="H21" s="64">
        <f t="shared" si="2"/>
        <v>15266.190000000002</v>
      </c>
      <c r="I21" s="221"/>
    </row>
    <row r="22" spans="1:10" x14ac:dyDescent="0.2">
      <c r="A22" s="59"/>
      <c r="B22" s="61"/>
      <c r="C22" s="69"/>
      <c r="D22" s="64"/>
      <c r="E22" s="64"/>
      <c r="F22" s="64"/>
      <c r="G22" s="64"/>
      <c r="H22" s="64"/>
      <c r="I22" s="221"/>
    </row>
    <row r="23" spans="1:10" ht="13.5" thickBot="1" x14ac:dyDescent="0.25">
      <c r="A23" s="59"/>
      <c r="B23" s="70"/>
      <c r="C23" s="71" t="s">
        <v>28</v>
      </c>
      <c r="D23" s="72">
        <f>SUM(D9:D22)</f>
        <v>29800</v>
      </c>
      <c r="E23" s="72"/>
      <c r="F23" s="72">
        <f>SUM(F9:F22)</f>
        <v>14533.81</v>
      </c>
      <c r="G23" s="72"/>
      <c r="H23" s="72">
        <f>D23-F23</f>
        <v>15266.19</v>
      </c>
      <c r="I23" s="221"/>
    </row>
    <row r="24" spans="1:10" ht="13.5" thickTop="1" x14ac:dyDescent="0.2">
      <c r="A24" s="73"/>
      <c r="B24" s="61"/>
      <c r="C24" s="69"/>
      <c r="D24" s="64"/>
      <c r="E24" s="64"/>
      <c r="F24" s="64"/>
      <c r="G24" s="64"/>
      <c r="H24" s="64"/>
      <c r="I24" s="221"/>
    </row>
    <row r="25" spans="1:10" x14ac:dyDescent="0.2">
      <c r="A25" s="73"/>
      <c r="B25" s="61"/>
      <c r="C25" s="69"/>
      <c r="D25" s="64"/>
      <c r="E25" s="64"/>
      <c r="F25" s="64"/>
      <c r="G25" s="64"/>
      <c r="H25" s="64"/>
      <c r="I25" s="221"/>
    </row>
    <row r="26" spans="1:10" x14ac:dyDescent="0.2">
      <c r="A26" s="73"/>
      <c r="B26" s="61"/>
      <c r="C26" s="200"/>
      <c r="D26" s="201"/>
      <c r="E26" s="201"/>
      <c r="F26" s="201"/>
      <c r="G26" s="201"/>
      <c r="H26" s="201"/>
      <c r="I26" s="222"/>
      <c r="J26" s="202"/>
    </row>
    <row r="27" spans="1:10" x14ac:dyDescent="0.2">
      <c r="A27" s="73"/>
      <c r="B27" s="61"/>
      <c r="C27" s="200"/>
      <c r="D27" s="201"/>
      <c r="E27" s="201"/>
      <c r="F27" s="201"/>
      <c r="G27" s="201"/>
      <c r="H27" s="201"/>
      <c r="I27" s="222"/>
      <c r="J27" s="202"/>
    </row>
    <row r="28" spans="1:10" x14ac:dyDescent="0.2">
      <c r="A28" s="73"/>
      <c r="B28" s="61"/>
      <c r="C28" s="200"/>
      <c r="D28" s="201"/>
      <c r="E28" s="201"/>
      <c r="F28" s="201"/>
      <c r="G28" s="201"/>
      <c r="H28" s="201"/>
      <c r="I28" s="222"/>
      <c r="J28" s="202"/>
    </row>
    <row r="29" spans="1:10" x14ac:dyDescent="0.2">
      <c r="A29" s="73"/>
      <c r="B29" s="61"/>
      <c r="C29" s="200"/>
      <c r="D29" s="203"/>
      <c r="E29" s="201"/>
      <c r="F29" s="203"/>
      <c r="G29" s="201"/>
      <c r="H29" s="203"/>
      <c r="I29" s="222"/>
      <c r="J29" s="202"/>
    </row>
    <row r="30" spans="1:10" x14ac:dyDescent="0.2">
      <c r="A30" s="73"/>
      <c r="B30" s="61"/>
      <c r="C30" s="69"/>
      <c r="D30" s="64"/>
      <c r="E30" s="64"/>
      <c r="F30" s="64"/>
      <c r="G30" s="64"/>
      <c r="H30" s="64"/>
      <c r="I30" s="221"/>
    </row>
    <row r="31" spans="1:10" x14ac:dyDescent="0.2">
      <c r="A31" s="73"/>
      <c r="B31" s="61"/>
      <c r="C31" s="69"/>
      <c r="D31" s="64"/>
      <c r="E31" s="64"/>
      <c r="F31" s="64"/>
      <c r="G31" s="64"/>
      <c r="H31" s="64"/>
      <c r="I31" s="221"/>
    </row>
    <row r="32" spans="1:10" x14ac:dyDescent="0.2">
      <c r="A32" s="73"/>
      <c r="B32" s="61"/>
      <c r="C32" s="69"/>
      <c r="D32" s="45"/>
      <c r="E32" s="74"/>
      <c r="F32" s="75"/>
      <c r="G32" s="75"/>
      <c r="H32" s="45"/>
      <c r="I32" s="221"/>
    </row>
    <row r="33" spans="1:9" x14ac:dyDescent="0.2">
      <c r="A33" s="73"/>
      <c r="B33" s="61"/>
      <c r="C33" s="69"/>
      <c r="D33" s="45"/>
      <c r="E33" s="74"/>
      <c r="F33" s="75"/>
      <c r="G33" s="75"/>
      <c r="H33" s="45"/>
      <c r="I33" s="221"/>
    </row>
    <row r="34" spans="1:9" x14ac:dyDescent="0.2">
      <c r="A34" s="73"/>
      <c r="B34" s="61"/>
      <c r="C34" s="69"/>
      <c r="D34" s="45"/>
      <c r="E34" s="74"/>
      <c r="F34" s="75"/>
      <c r="G34" s="75"/>
      <c r="H34" s="45"/>
      <c r="I34" s="221"/>
    </row>
    <row r="35" spans="1:9" x14ac:dyDescent="0.2">
      <c r="A35" s="73"/>
      <c r="B35" s="61"/>
      <c r="C35" s="69"/>
      <c r="D35" s="45"/>
      <c r="E35" s="74"/>
      <c r="F35" s="75"/>
      <c r="G35" s="75"/>
      <c r="H35" s="45"/>
      <c r="I35" s="221"/>
    </row>
    <row r="36" spans="1:9" x14ac:dyDescent="0.2">
      <c r="A36" s="73"/>
      <c r="B36" s="61"/>
      <c r="C36" s="69"/>
      <c r="D36" s="45"/>
      <c r="E36" s="74"/>
      <c r="F36" s="75"/>
      <c r="G36" s="75"/>
      <c r="H36" s="45"/>
      <c r="I36" s="221"/>
    </row>
    <row r="37" spans="1:9" x14ac:dyDescent="0.2">
      <c r="A37" s="73"/>
      <c r="B37" s="61"/>
      <c r="C37" s="69"/>
      <c r="D37" s="45"/>
      <c r="E37" s="74"/>
      <c r="F37" s="75"/>
      <c r="G37" s="75"/>
      <c r="H37" s="45"/>
      <c r="I37" s="221"/>
    </row>
    <row r="38" spans="1:9" x14ac:dyDescent="0.2">
      <c r="A38" s="73"/>
      <c r="B38" s="61"/>
      <c r="C38" s="69"/>
      <c r="D38" s="45"/>
      <c r="E38" s="74"/>
      <c r="F38" s="75"/>
      <c r="G38" s="75"/>
      <c r="H38" s="45"/>
      <c r="I38" s="221"/>
    </row>
    <row r="39" spans="1:9" x14ac:dyDescent="0.2">
      <c r="A39" s="73"/>
      <c r="B39" s="61"/>
      <c r="C39" s="69"/>
      <c r="D39" s="45"/>
      <c r="E39" s="74"/>
      <c r="F39" s="75"/>
      <c r="G39" s="75"/>
      <c r="H39" s="45"/>
      <c r="I39" s="221"/>
    </row>
    <row r="40" spans="1:9" x14ac:dyDescent="0.2">
      <c r="A40" s="73"/>
      <c r="B40" s="61"/>
      <c r="C40" s="69"/>
      <c r="D40" s="45"/>
      <c r="E40" s="74"/>
      <c r="F40" s="75"/>
      <c r="G40" s="75"/>
      <c r="H40" s="45"/>
      <c r="I40" s="221"/>
    </row>
    <row r="41" spans="1:9" x14ac:dyDescent="0.2">
      <c r="A41" s="73"/>
      <c r="B41" s="61"/>
      <c r="C41" s="69"/>
      <c r="D41" s="45"/>
      <c r="E41" s="74"/>
      <c r="F41" s="75"/>
      <c r="G41" s="75"/>
      <c r="H41" s="45"/>
      <c r="I41" s="221"/>
    </row>
    <row r="42" spans="1:9" x14ac:dyDescent="0.2">
      <c r="E42" s="79"/>
      <c r="I42" s="221"/>
    </row>
    <row r="43" spans="1:9" x14ac:dyDescent="0.2">
      <c r="E43" s="79"/>
      <c r="I43" s="221"/>
    </row>
    <row r="44" spans="1:9" x14ac:dyDescent="0.2">
      <c r="E44" s="79"/>
    </row>
    <row r="45" spans="1:9" x14ac:dyDescent="0.2">
      <c r="E45" s="79"/>
    </row>
    <row r="46" spans="1:9" x14ac:dyDescent="0.2">
      <c r="E46" s="79"/>
    </row>
    <row r="47" spans="1:9" x14ac:dyDescent="0.2">
      <c r="E47" s="79"/>
    </row>
    <row r="48" spans="1:9"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43">
    <cfRule type="cellIs" dxfId="5"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C4AB-9BDA-4DBA-A913-621777F1ACCE}">
  <sheetPr>
    <pageSetUpPr fitToPage="1"/>
  </sheetPr>
  <dimension ref="A1:J627"/>
  <sheetViews>
    <sheetView zoomScaleNormal="100" workbookViewId="0">
      <selection activeCell="E28" sqref="E2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5.28515625" style="65" customWidth="1"/>
    <col min="10" max="10" width="6.2851562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165</v>
      </c>
      <c r="B4" s="37"/>
      <c r="C4" s="38"/>
      <c r="D4" s="39" t="s">
        <v>166</v>
      </c>
      <c r="E4" s="40"/>
      <c r="F4" s="34"/>
      <c r="G4" s="34"/>
    </row>
    <row r="5" spans="1:10" s="35" customFormat="1" ht="15.75" x14ac:dyDescent="0.25">
      <c r="A5" s="41" t="s">
        <v>86</v>
      </c>
      <c r="B5" s="42"/>
      <c r="C5" s="43"/>
      <c r="D5" s="44" t="s">
        <v>161</v>
      </c>
      <c r="E5" s="45"/>
      <c r="F5" s="46"/>
      <c r="G5" s="47"/>
      <c r="H5" s="42"/>
    </row>
    <row r="6" spans="1:10" s="35" customFormat="1" ht="15.75" x14ac:dyDescent="0.25">
      <c r="A6" s="13" t="str">
        <f>'RECAP #9436.00'!B6</f>
        <v>Project Manager - James T.</v>
      </c>
      <c r="B6" s="11"/>
      <c r="C6" s="48"/>
      <c r="D6" s="49" t="s">
        <v>162</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186</v>
      </c>
    </row>
    <row r="9" spans="1:10" x14ac:dyDescent="0.2">
      <c r="A9" s="59" t="s">
        <v>167</v>
      </c>
      <c r="B9" s="60">
        <v>45709</v>
      </c>
      <c r="C9" s="61" t="s">
        <v>88</v>
      </c>
      <c r="D9" s="204">
        <v>287674</v>
      </c>
      <c r="E9" s="63">
        <f>D9</f>
        <v>287674</v>
      </c>
      <c r="F9" s="64"/>
      <c r="G9" s="64"/>
      <c r="H9" s="64">
        <f>E9</f>
        <v>287674</v>
      </c>
      <c r="I9" s="221"/>
    </row>
    <row r="10" spans="1:10" x14ac:dyDescent="0.2">
      <c r="A10" s="276" t="s">
        <v>288</v>
      </c>
      <c r="B10" s="284">
        <v>45861</v>
      </c>
      <c r="C10" s="278" t="s">
        <v>287</v>
      </c>
      <c r="D10" s="279"/>
      <c r="E10" s="279">
        <f t="shared" ref="E10:E21" si="0">E9+D10</f>
        <v>287674</v>
      </c>
      <c r="F10" s="280">
        <v>11162.5</v>
      </c>
      <c r="G10" s="281">
        <f t="shared" ref="G10:G21" si="1">G9+F10</f>
        <v>11162.5</v>
      </c>
      <c r="H10" s="281">
        <f t="shared" ref="H10:H21" si="2">H9-F10+D10</f>
        <v>276511.5</v>
      </c>
      <c r="I10" s="287">
        <v>587.5</v>
      </c>
      <c r="J10" s="282" t="s">
        <v>289</v>
      </c>
    </row>
    <row r="11" spans="1:10" x14ac:dyDescent="0.2">
      <c r="A11" s="59" t="s">
        <v>293</v>
      </c>
      <c r="B11" s="60">
        <v>45891</v>
      </c>
      <c r="C11" s="61" t="s">
        <v>291</v>
      </c>
      <c r="D11" s="204">
        <v>0</v>
      </c>
      <c r="E11" s="63">
        <f t="shared" si="0"/>
        <v>287674</v>
      </c>
      <c r="F11" s="207"/>
      <c r="G11" s="64">
        <f t="shared" si="1"/>
        <v>11162.5</v>
      </c>
      <c r="H11" s="64">
        <f t="shared" si="2"/>
        <v>276511.5</v>
      </c>
      <c r="I11" s="221"/>
    </row>
    <row r="12" spans="1:10" x14ac:dyDescent="0.2">
      <c r="A12" s="59" t="s">
        <v>323</v>
      </c>
      <c r="B12" s="60">
        <v>45918</v>
      </c>
      <c r="C12" s="61" t="s">
        <v>324</v>
      </c>
      <c r="D12" s="63"/>
      <c r="E12" s="63">
        <f t="shared" si="0"/>
        <v>287674</v>
      </c>
      <c r="F12" s="292">
        <v>35150</v>
      </c>
      <c r="G12" s="64">
        <f t="shared" si="1"/>
        <v>46312.5</v>
      </c>
      <c r="H12" s="64">
        <f t="shared" si="2"/>
        <v>241361.5</v>
      </c>
      <c r="I12" s="273">
        <f>I10+1850</f>
        <v>2437.5</v>
      </c>
    </row>
    <row r="13" spans="1:10" x14ac:dyDescent="0.2">
      <c r="A13" s="59" t="s">
        <v>331</v>
      </c>
      <c r="B13" s="60">
        <v>45933</v>
      </c>
      <c r="C13" s="61" t="s">
        <v>332</v>
      </c>
      <c r="D13" s="63"/>
      <c r="E13" s="63">
        <f t="shared" si="0"/>
        <v>287674</v>
      </c>
      <c r="F13" s="292">
        <v>120553.1</v>
      </c>
      <c r="G13" s="64">
        <f t="shared" si="1"/>
        <v>166865.60000000001</v>
      </c>
      <c r="H13" s="64">
        <f t="shared" si="2"/>
        <v>120808.4</v>
      </c>
      <c r="I13" s="273">
        <f>I12+6344.9</f>
        <v>8782.4</v>
      </c>
    </row>
    <row r="14" spans="1:10" x14ac:dyDescent="0.2">
      <c r="A14" s="59"/>
      <c r="B14" s="60"/>
      <c r="C14" s="61"/>
      <c r="D14" s="63"/>
      <c r="E14" s="63">
        <f t="shared" si="0"/>
        <v>287674</v>
      </c>
      <c r="F14" s="64"/>
      <c r="G14" s="64">
        <f t="shared" si="1"/>
        <v>166865.60000000001</v>
      </c>
      <c r="H14" s="64">
        <f t="shared" si="2"/>
        <v>120808.4</v>
      </c>
      <c r="I14" s="221"/>
    </row>
    <row r="15" spans="1:10" x14ac:dyDescent="0.2">
      <c r="A15" s="59"/>
      <c r="B15" s="60"/>
      <c r="C15" s="61"/>
      <c r="D15" s="63"/>
      <c r="E15" s="63">
        <f t="shared" si="0"/>
        <v>287674</v>
      </c>
      <c r="F15" s="67"/>
      <c r="G15" s="64">
        <f t="shared" si="1"/>
        <v>166865.60000000001</v>
      </c>
      <c r="H15" s="64">
        <f t="shared" si="2"/>
        <v>120808.4</v>
      </c>
      <c r="I15" s="221"/>
    </row>
    <row r="16" spans="1:10" x14ac:dyDescent="0.2">
      <c r="A16" s="59"/>
      <c r="B16" s="60"/>
      <c r="C16" s="61"/>
      <c r="D16" s="63"/>
      <c r="E16" s="63">
        <f t="shared" si="0"/>
        <v>287674</v>
      </c>
      <c r="F16" s="67"/>
      <c r="G16" s="64">
        <f t="shared" si="1"/>
        <v>166865.60000000001</v>
      </c>
      <c r="H16" s="64">
        <f t="shared" si="2"/>
        <v>120808.4</v>
      </c>
      <c r="I16" s="221"/>
    </row>
    <row r="17" spans="1:10" x14ac:dyDescent="0.2">
      <c r="A17" s="59"/>
      <c r="B17" s="60"/>
      <c r="C17" s="61"/>
      <c r="D17" s="63"/>
      <c r="E17" s="63">
        <f t="shared" si="0"/>
        <v>287674</v>
      </c>
      <c r="F17" s="67"/>
      <c r="G17" s="64">
        <f t="shared" si="1"/>
        <v>166865.60000000001</v>
      </c>
      <c r="H17" s="64">
        <f t="shared" si="2"/>
        <v>120808.4</v>
      </c>
      <c r="I17" s="221"/>
    </row>
    <row r="18" spans="1:10" x14ac:dyDescent="0.2">
      <c r="A18" s="59"/>
      <c r="B18" s="60"/>
      <c r="C18" s="61"/>
      <c r="D18" s="63"/>
      <c r="E18" s="63">
        <f t="shared" si="0"/>
        <v>287674</v>
      </c>
      <c r="F18" s="67"/>
      <c r="G18" s="64">
        <f t="shared" si="1"/>
        <v>166865.60000000001</v>
      </c>
      <c r="H18" s="64">
        <f t="shared" si="2"/>
        <v>120808.4</v>
      </c>
      <c r="I18" s="221"/>
    </row>
    <row r="19" spans="1:10" x14ac:dyDescent="0.2">
      <c r="A19" s="59"/>
      <c r="B19" s="60"/>
      <c r="C19" s="61"/>
      <c r="D19" s="63"/>
      <c r="E19" s="63">
        <f t="shared" si="0"/>
        <v>287674</v>
      </c>
      <c r="F19" s="64"/>
      <c r="G19" s="64">
        <f t="shared" si="1"/>
        <v>166865.60000000001</v>
      </c>
      <c r="H19" s="64">
        <f t="shared" si="2"/>
        <v>120808.4</v>
      </c>
      <c r="I19" s="221"/>
    </row>
    <row r="20" spans="1:10" x14ac:dyDescent="0.2">
      <c r="A20" s="59"/>
      <c r="B20" s="60"/>
      <c r="C20" s="61"/>
      <c r="D20" s="63"/>
      <c r="E20" s="63">
        <f t="shared" si="0"/>
        <v>287674</v>
      </c>
      <c r="F20" s="64"/>
      <c r="G20" s="64">
        <f t="shared" si="1"/>
        <v>166865.60000000001</v>
      </c>
      <c r="H20" s="64">
        <f t="shared" si="2"/>
        <v>120808.4</v>
      </c>
      <c r="I20" s="221"/>
    </row>
    <row r="21" spans="1:10" x14ac:dyDescent="0.2">
      <c r="A21" s="59"/>
      <c r="B21" s="60"/>
      <c r="C21" s="68"/>
      <c r="D21" s="63"/>
      <c r="E21" s="63">
        <f t="shared" si="0"/>
        <v>287674</v>
      </c>
      <c r="F21" s="64"/>
      <c r="G21" s="64">
        <f t="shared" si="1"/>
        <v>166865.60000000001</v>
      </c>
      <c r="H21" s="64">
        <f t="shared" si="2"/>
        <v>120808.4</v>
      </c>
      <c r="I21" s="221"/>
    </row>
    <row r="22" spans="1:10" x14ac:dyDescent="0.2">
      <c r="A22" s="59"/>
      <c r="B22" s="61"/>
      <c r="C22" s="69"/>
      <c r="D22" s="64"/>
      <c r="E22" s="64"/>
      <c r="F22" s="64"/>
      <c r="G22" s="64"/>
      <c r="H22" s="64"/>
      <c r="I22" s="221"/>
    </row>
    <row r="23" spans="1:10" ht="13.5" thickBot="1" x14ac:dyDescent="0.25">
      <c r="A23" s="59"/>
      <c r="B23" s="70"/>
      <c r="C23" s="71" t="s">
        <v>28</v>
      </c>
      <c r="D23" s="72">
        <f>SUM(D9:D22)</f>
        <v>287674</v>
      </c>
      <c r="E23" s="72"/>
      <c r="F23" s="72">
        <f>SUM(F9:F22)</f>
        <v>166865.60000000001</v>
      </c>
      <c r="G23" s="72"/>
      <c r="H23" s="72">
        <f>D23-F23</f>
        <v>120808.4</v>
      </c>
      <c r="I23" s="221"/>
    </row>
    <row r="24" spans="1:10" ht="13.5" thickTop="1" x14ac:dyDescent="0.2">
      <c r="A24" s="73"/>
      <c r="B24" s="61"/>
      <c r="C24" s="69"/>
      <c r="D24" s="64"/>
      <c r="E24" s="64"/>
      <c r="F24" s="64"/>
      <c r="G24" s="64"/>
      <c r="H24" s="64"/>
      <c r="I24" s="221"/>
    </row>
    <row r="25" spans="1:10" x14ac:dyDescent="0.2">
      <c r="A25" s="73"/>
      <c r="B25" s="61"/>
      <c r="C25" s="69"/>
      <c r="D25" s="64"/>
      <c r="E25" s="64"/>
      <c r="F25" s="64"/>
      <c r="G25" s="64"/>
      <c r="H25" s="64"/>
      <c r="I25" s="221"/>
    </row>
    <row r="26" spans="1:10" x14ac:dyDescent="0.2">
      <c r="A26" s="73"/>
      <c r="B26" s="61"/>
      <c r="C26" s="200"/>
      <c r="D26" s="201"/>
      <c r="E26" s="201"/>
      <c r="F26" s="201"/>
      <c r="G26" s="201"/>
      <c r="H26" s="201"/>
      <c r="I26" s="222"/>
      <c r="J26" s="202"/>
    </row>
    <row r="27" spans="1:10" x14ac:dyDescent="0.2">
      <c r="A27" s="73"/>
      <c r="B27" s="61"/>
      <c r="C27" s="200"/>
      <c r="D27" s="201"/>
      <c r="E27" s="201"/>
      <c r="F27" s="201"/>
      <c r="G27" s="201"/>
      <c r="H27" s="201"/>
      <c r="I27" s="222"/>
      <c r="J27" s="202"/>
    </row>
    <row r="28" spans="1:10" x14ac:dyDescent="0.2">
      <c r="A28" s="73"/>
      <c r="B28" s="61"/>
      <c r="C28" s="200"/>
      <c r="D28" s="201"/>
      <c r="E28" s="201"/>
      <c r="F28" s="201"/>
      <c r="G28" s="201"/>
      <c r="H28" s="201"/>
      <c r="I28" s="222"/>
      <c r="J28" s="202"/>
    </row>
    <row r="29" spans="1:10" x14ac:dyDescent="0.2">
      <c r="A29" s="73"/>
      <c r="B29" s="61"/>
      <c r="C29" s="200"/>
      <c r="D29" s="203"/>
      <c r="E29" s="201"/>
      <c r="F29" s="203"/>
      <c r="G29" s="201"/>
      <c r="H29" s="203"/>
      <c r="I29" s="222"/>
      <c r="J29" s="202"/>
    </row>
    <row r="30" spans="1:10" x14ac:dyDescent="0.2">
      <c r="A30" s="73"/>
      <c r="B30" s="61"/>
      <c r="C30" s="69"/>
      <c r="D30" s="64"/>
      <c r="E30" s="64"/>
      <c r="F30" s="64"/>
      <c r="G30" s="64"/>
      <c r="H30" s="64"/>
      <c r="I30" s="221"/>
    </row>
    <row r="31" spans="1:10" x14ac:dyDescent="0.2">
      <c r="A31" s="73"/>
      <c r="B31" s="61"/>
      <c r="C31" s="69"/>
      <c r="D31" s="64"/>
      <c r="E31" s="64"/>
      <c r="F31" s="64"/>
      <c r="G31" s="64"/>
      <c r="H31" s="64"/>
      <c r="I31" s="221"/>
    </row>
    <row r="32" spans="1:10" x14ac:dyDescent="0.2">
      <c r="A32" s="73"/>
      <c r="B32" s="61"/>
      <c r="C32" s="69"/>
      <c r="D32" s="45"/>
      <c r="E32" s="74"/>
      <c r="F32" s="75"/>
      <c r="G32" s="75"/>
      <c r="H32" s="45"/>
      <c r="I32" s="221"/>
    </row>
    <row r="33" spans="1:9" x14ac:dyDescent="0.2">
      <c r="A33" s="73"/>
      <c r="B33" s="61"/>
      <c r="C33" s="69"/>
      <c r="D33" s="45"/>
      <c r="E33" s="74"/>
      <c r="F33" s="75"/>
      <c r="G33" s="75"/>
      <c r="H33" s="45"/>
      <c r="I33" s="221"/>
    </row>
    <row r="34" spans="1:9" x14ac:dyDescent="0.2">
      <c r="A34" s="73"/>
      <c r="B34" s="61"/>
      <c r="C34" s="69"/>
      <c r="D34" s="45"/>
      <c r="E34" s="74"/>
      <c r="F34" s="75"/>
      <c r="G34" s="75"/>
      <c r="H34" s="45"/>
      <c r="I34" s="221"/>
    </row>
    <row r="35" spans="1:9" x14ac:dyDescent="0.2">
      <c r="A35" s="73"/>
      <c r="B35" s="61"/>
      <c r="C35" s="69"/>
      <c r="D35" s="45"/>
      <c r="E35" s="74"/>
      <c r="F35" s="75"/>
      <c r="G35" s="75"/>
      <c r="H35" s="45"/>
      <c r="I35" s="221"/>
    </row>
    <row r="36" spans="1:9" x14ac:dyDescent="0.2">
      <c r="A36" s="73"/>
      <c r="B36" s="61"/>
      <c r="C36" s="69"/>
      <c r="D36" s="45"/>
      <c r="E36" s="74"/>
      <c r="F36" s="75"/>
      <c r="G36" s="75"/>
      <c r="H36" s="45"/>
      <c r="I36" s="221"/>
    </row>
    <row r="37" spans="1:9" x14ac:dyDescent="0.2">
      <c r="A37" s="73"/>
      <c r="B37" s="61"/>
      <c r="C37" s="69"/>
      <c r="D37" s="45"/>
      <c r="E37" s="74"/>
      <c r="F37" s="75"/>
      <c r="G37" s="75"/>
      <c r="H37" s="45"/>
      <c r="I37" s="221"/>
    </row>
    <row r="38" spans="1:9" x14ac:dyDescent="0.2">
      <c r="A38" s="73"/>
      <c r="B38" s="61"/>
      <c r="C38" s="69"/>
      <c r="D38" s="45"/>
      <c r="E38" s="74"/>
      <c r="F38" s="75"/>
      <c r="G38" s="75"/>
      <c r="H38" s="45"/>
      <c r="I38" s="221"/>
    </row>
    <row r="39" spans="1:9" x14ac:dyDescent="0.2">
      <c r="A39" s="73"/>
      <c r="B39" s="61"/>
      <c r="C39" s="69"/>
      <c r="D39" s="45"/>
      <c r="E39" s="74"/>
      <c r="F39" s="75"/>
      <c r="G39" s="75"/>
      <c r="H39" s="45"/>
      <c r="I39" s="221"/>
    </row>
    <row r="40" spans="1:9" x14ac:dyDescent="0.2">
      <c r="A40" s="73"/>
      <c r="B40" s="61"/>
      <c r="C40" s="69"/>
      <c r="D40" s="45"/>
      <c r="E40" s="74"/>
      <c r="F40" s="75"/>
      <c r="G40" s="75"/>
      <c r="H40" s="45"/>
      <c r="I40" s="221"/>
    </row>
    <row r="41" spans="1:9" x14ac:dyDescent="0.2">
      <c r="A41" s="73"/>
      <c r="B41" s="61"/>
      <c r="C41" s="69"/>
      <c r="D41" s="45"/>
      <c r="E41" s="74"/>
      <c r="F41" s="75"/>
      <c r="G41" s="75"/>
      <c r="H41" s="45"/>
      <c r="I41" s="221"/>
    </row>
    <row r="42" spans="1:9" x14ac:dyDescent="0.2">
      <c r="E42" s="79"/>
      <c r="I42" s="221"/>
    </row>
    <row r="43" spans="1:9" x14ac:dyDescent="0.2">
      <c r="E43" s="79"/>
      <c r="I43" s="221"/>
    </row>
    <row r="44" spans="1:9" x14ac:dyDescent="0.2">
      <c r="E44" s="79"/>
      <c r="I44" s="221"/>
    </row>
    <row r="45" spans="1:9" x14ac:dyDescent="0.2">
      <c r="E45" s="79"/>
      <c r="I45" s="221"/>
    </row>
    <row r="46" spans="1:9" x14ac:dyDescent="0.2">
      <c r="E46" s="79"/>
    </row>
    <row r="47" spans="1:9" x14ac:dyDescent="0.2">
      <c r="E47" s="79"/>
    </row>
    <row r="48" spans="1:9"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45">
    <cfRule type="cellIs" dxfId="4" priority="1" operator="greaterThan">
      <formula>$H$23</formula>
    </cfRule>
  </conditionalFormatting>
  <pageMargins left="0.25" right="0.25" top="0.95" bottom="0.75" header="0.09" footer="0.3"/>
  <pageSetup scale="70" orientation="portrait" r:id="rId1"/>
  <headerFooter alignWithMargins="0">
    <oddHeader>&amp;CDepartment of Administrative Services
Major Maintenance 
2000
&amp;A
&amp;D</oddHeader>
    <oddFooter>&amp;LAcct Codes 0017-335-2000
Reversion 6/30/2028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vt:i4>
      </vt:variant>
    </vt:vector>
  </HeadingPairs>
  <TitlesOfParts>
    <vt:vector size="30" baseType="lpstr">
      <vt:lpstr>Language</vt:lpstr>
      <vt:lpstr>FINANCIAL</vt:lpstr>
      <vt:lpstr>RECAP #9436.00</vt:lpstr>
      <vt:lpstr>#9436.00 DCI Group</vt:lpstr>
      <vt:lpstr>#9436.00 PM TIME</vt:lpstr>
      <vt:lpstr>#9436.00 Misc</vt:lpstr>
      <vt:lpstr>#9436.00 OPN Architects</vt:lpstr>
      <vt:lpstr>#9436.00 Bergstrom Construction</vt:lpstr>
      <vt:lpstr>#9436.00 Schumacher Elevator</vt:lpstr>
      <vt:lpstr>#9436.00 All Iowa Mechanical</vt:lpstr>
      <vt:lpstr>#9436.00 Air Con Electric</vt:lpstr>
      <vt:lpstr>#9436.00 DCI Group (2)</vt:lpstr>
      <vt:lpstr>#9436.00 Johnson Controls</vt:lpstr>
      <vt:lpstr>#9436.00 Johnson Controls (2)</vt:lpstr>
      <vt:lpstr>RECAP #9440.00</vt:lpstr>
      <vt:lpstr>#9440.00 OPN Architects</vt:lpstr>
      <vt:lpstr>#9440.00 PM TIME</vt:lpstr>
      <vt:lpstr>#9440.00 Misc </vt:lpstr>
      <vt:lpstr>#9440.00 DCI Group</vt:lpstr>
      <vt:lpstr>#9440.00 DCI Group (2)</vt:lpstr>
      <vt:lpstr>#9440.00 Van Maanen Electrical</vt:lpstr>
      <vt:lpstr>#9440.00 Proctor Mechanical</vt:lpstr>
      <vt:lpstr>#9440.00 Bergstrom Construction</vt:lpstr>
      <vt:lpstr>#9440.00 Metro Elevator</vt:lpstr>
      <vt:lpstr>RECAP #XXXX.XX</vt:lpstr>
      <vt:lpstr>#XXXX.XX Vendor A</vt:lpstr>
      <vt:lpstr>#XXXX.XX PM TIME</vt:lpstr>
      <vt:lpstr>#XXXX.XX Misc</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 [DAS]</cp:lastModifiedBy>
  <cp:lastPrinted>2025-11-03T19:48:47Z</cp:lastPrinted>
  <dcterms:created xsi:type="dcterms:W3CDTF">2015-06-05T18:17:20Z</dcterms:created>
  <dcterms:modified xsi:type="dcterms:W3CDTF">2025-11-03T19:54:14Z</dcterms:modified>
</cp:coreProperties>
</file>