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WebMaster\Financials\"/>
    </mc:Choice>
  </mc:AlternateContent>
  <xr:revisionPtr revIDLastSave="0" documentId="8_{4C4B7AD7-FB3F-4D90-9F61-DECAA7FE197C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RECAP #XXXX.XX" sheetId="2" r:id="rId11"/>
    <sheet name="#XXXX.XX Vendor A" sheetId="3" r:id="rId12"/>
    <sheet name="#XXXX.XX PM TIME" sheetId="4" r:id="rId13"/>
    <sheet name="#XXXX.XX Misc" sheetId="5" r:id="rId14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35" i="13" l="1"/>
  <c r="H35" i="13"/>
  <c r="H34" i="13"/>
  <c r="D35" i="13"/>
  <c r="F33" i="13" l="1"/>
  <c r="F30" i="13"/>
  <c r="F29" i="13"/>
  <c r="F28" i="13"/>
  <c r="F27" i="13"/>
  <c r="F26" i="13"/>
  <c r="H30" i="12" l="1"/>
  <c r="D31" i="12"/>
  <c r="F29" i="12"/>
  <c r="H29" i="12" s="1"/>
  <c r="F28" i="12"/>
  <c r="H28" i="12" s="1"/>
  <c r="F27" i="12"/>
  <c r="H27" i="12" s="1"/>
  <c r="F26" i="12"/>
  <c r="F29" i="9"/>
  <c r="F28" i="9"/>
  <c r="F27" i="9"/>
  <c r="F26" i="9"/>
  <c r="F31" i="9" s="1"/>
  <c r="G17" i="10"/>
  <c r="G16" i="10"/>
  <c r="I11" i="9"/>
  <c r="I12" i="9" s="1"/>
  <c r="H33" i="13"/>
  <c r="I10" i="9"/>
  <c r="H32" i="13"/>
  <c r="G15" i="10"/>
  <c r="G14" i="10"/>
  <c r="F23" i="15"/>
  <c r="E16" i="8" s="1"/>
  <c r="D23" i="15"/>
  <c r="D16" i="8" s="1"/>
  <c r="H23" i="15"/>
  <c r="F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H23" i="14"/>
  <c r="F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 s="1"/>
  <c r="H10" i="14" s="1"/>
  <c r="H11" i="14" s="1"/>
  <c r="H12" i="14" s="1"/>
  <c r="H13" i="14" s="1"/>
  <c r="H14" i="14" s="1"/>
  <c r="H15" i="14" s="1"/>
  <c r="H16" i="14" s="1"/>
  <c r="H17" i="14"/>
  <c r="H18" i="14"/>
  <c r="H19" i="14" s="1"/>
  <c r="H20" i="14" s="1"/>
  <c r="H21" i="14" s="1"/>
  <c r="A6" i="14"/>
  <c r="D3" i="14"/>
  <c r="A3" i="14"/>
  <c r="A2" i="14"/>
  <c r="A1" i="14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E14" i="8"/>
  <c r="H30" i="13"/>
  <c r="H29" i="13"/>
  <c r="H28" i="13"/>
  <c r="H27" i="13"/>
  <c r="H26" i="13"/>
  <c r="F23" i="13"/>
  <c r="D23" i="13"/>
  <c r="G10" i="13"/>
  <c r="G11" i="13"/>
  <c r="G12" i="13"/>
  <c r="G13" i="13"/>
  <c r="G14" i="13" s="1"/>
  <c r="G15" i="13" s="1"/>
  <c r="G16" i="13" s="1"/>
  <c r="G17" i="13" s="1"/>
  <c r="G18" i="13" s="1"/>
  <c r="G19" i="13" s="1"/>
  <c r="G20" i="13" s="1"/>
  <c r="G21" i="13" s="1"/>
  <c r="E13" i="13"/>
  <c r="E14" i="13"/>
  <c r="E15" i="13" s="1"/>
  <c r="E16" i="13" s="1"/>
  <c r="E17" i="13" s="1"/>
  <c r="E18" i="13" s="1"/>
  <c r="E19" i="13" s="1"/>
  <c r="E20" i="13" s="1"/>
  <c r="E21" i="13" s="1"/>
  <c r="E9" i="13"/>
  <c r="E10" i="13" s="1"/>
  <c r="E11" i="13" s="1"/>
  <c r="E12" i="13" s="1"/>
  <c r="H9" i="13"/>
  <c r="H10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A6" i="13"/>
  <c r="D3" i="13"/>
  <c r="A3" i="13"/>
  <c r="A2" i="13"/>
  <c r="A1" i="13"/>
  <c r="D14" i="8"/>
  <c r="G11" i="10"/>
  <c r="G10" i="10"/>
  <c r="G23" i="10" s="1"/>
  <c r="E15" i="6"/>
  <c r="H26" i="12"/>
  <c r="F23" i="12"/>
  <c r="E13" i="8" s="1"/>
  <c r="D23" i="12"/>
  <c r="D13" i="8" s="1"/>
  <c r="G10" i="12"/>
  <c r="G11" i="12"/>
  <c r="G12" i="12" s="1"/>
  <c r="G13" i="12" s="1"/>
  <c r="G14" i="12" s="1"/>
  <c r="G15" i="12" s="1"/>
  <c r="G16" i="12" s="1"/>
  <c r="G17" i="12" s="1"/>
  <c r="G18" i="12" s="1"/>
  <c r="G19" i="12"/>
  <c r="G20" i="12" s="1"/>
  <c r="G21" i="12" s="1"/>
  <c r="E9" i="12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9" i="12"/>
  <c r="H10" i="12"/>
  <c r="H11" i="12"/>
  <c r="H12" i="12"/>
  <c r="H13" i="12" s="1"/>
  <c r="H14" i="12" s="1"/>
  <c r="H15" i="12" s="1"/>
  <c r="H16" i="12" s="1"/>
  <c r="H17" i="12" s="1"/>
  <c r="H18" i="12" s="1"/>
  <c r="H19" i="12" s="1"/>
  <c r="H20" i="12" s="1"/>
  <c r="H21" i="12" s="1"/>
  <c r="H27" i="9"/>
  <c r="H28" i="9"/>
  <c r="H29" i="9"/>
  <c r="H30" i="9"/>
  <c r="H26" i="9"/>
  <c r="H31" i="9" s="1"/>
  <c r="D31" i="9"/>
  <c r="G22" i="11"/>
  <c r="D12" i="8" s="1"/>
  <c r="F12" i="8" s="1"/>
  <c r="H9" i="11"/>
  <c r="H10" i="11"/>
  <c r="H11" i="11"/>
  <c r="H12" i="11"/>
  <c r="H13" i="1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A1" i="11"/>
  <c r="E23" i="10"/>
  <c r="D11" i="8"/>
  <c r="H10" i="10"/>
  <c r="H11" i="10"/>
  <c r="H12" i="10" s="1"/>
  <c r="H13" i="10" s="1"/>
  <c r="H14" i="10" s="1"/>
  <c r="H15" i="10"/>
  <c r="H16" i="10"/>
  <c r="H17" i="10"/>
  <c r="H18" i="10" s="1"/>
  <c r="H19" i="10" s="1"/>
  <c r="H20" i="10" s="1"/>
  <c r="H21" i="10" s="1"/>
  <c r="F9" i="10"/>
  <c r="F10" i="10"/>
  <c r="F11" i="10" s="1"/>
  <c r="F12" i="10" s="1"/>
  <c r="F13" i="10" s="1"/>
  <c r="F14" i="10"/>
  <c r="F15" i="10"/>
  <c r="F16" i="10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/>
  <c r="E18" i="9"/>
  <c r="E19" i="9"/>
  <c r="E20" i="9" s="1"/>
  <c r="E21" i="9" s="1"/>
  <c r="A6" i="9"/>
  <c r="D3" i="9"/>
  <c r="A3" i="9"/>
  <c r="A2" i="9"/>
  <c r="A1" i="9"/>
  <c r="E12" i="8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 s="1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E40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/>
  <c r="H16" i="5"/>
  <c r="H17" i="5"/>
  <c r="H18" i="5" s="1"/>
  <c r="H19" i="5" s="1"/>
  <c r="H20" i="5" s="1"/>
  <c r="A7" i="5"/>
  <c r="E3" i="5"/>
  <c r="A3" i="5"/>
  <c r="A2" i="5"/>
  <c r="A1" i="5"/>
  <c r="G23" i="4"/>
  <c r="E11" i="2" s="1"/>
  <c r="E14" i="2" s="1"/>
  <c r="E23" i="4"/>
  <c r="D11" i="2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/>
  <c r="H21" i="4"/>
  <c r="F9" i="4"/>
  <c r="A7" i="4"/>
  <c r="E3" i="4"/>
  <c r="A3" i="4"/>
  <c r="A2" i="4"/>
  <c r="A1" i="4"/>
  <c r="F23" i="3"/>
  <c r="E10" i="2"/>
  <c r="D23" i="3"/>
  <c r="D10" i="2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10" i="3"/>
  <c r="H11" i="3" s="1"/>
  <c r="H12" i="3" s="1"/>
  <c r="H13" i="3" s="1"/>
  <c r="H14" i="3" s="1"/>
  <c r="H15" i="3" s="1"/>
  <c r="H16" i="3" s="1"/>
  <c r="H17" i="3" s="1"/>
  <c r="H18" i="3"/>
  <c r="H19" i="3"/>
  <c r="H20" i="3"/>
  <c r="H21" i="3" s="1"/>
  <c r="H23" i="3"/>
  <c r="F10" i="2" s="1"/>
  <c r="H23" i="12" l="1"/>
  <c r="F13" i="8" s="1"/>
  <c r="H23" i="13"/>
  <c r="F14" i="8" s="1"/>
  <c r="J44" i="6"/>
  <c r="E8" i="6"/>
  <c r="K42" i="6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F31" i="12"/>
  <c r="F14" i="2"/>
  <c r="G14" i="2"/>
  <c r="C8" i="8"/>
  <c r="C18" i="8" s="1"/>
  <c r="H31" i="12"/>
  <c r="H23" i="9"/>
  <c r="F10" i="8" s="1"/>
  <c r="D10" i="8"/>
  <c r="D18" i="8" s="1"/>
  <c r="I23" i="10"/>
  <c r="F11" i="8" s="1"/>
  <c r="E11" i="8"/>
  <c r="E18" i="8" s="1"/>
  <c r="I15" i="6" s="1"/>
  <c r="I40" i="6" s="1"/>
  <c r="H9" i="15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H15" i="6" l="1"/>
  <c r="H40" i="6" s="1"/>
  <c r="J45" i="6" s="1"/>
  <c r="K45" i="6" s="1"/>
  <c r="F18" i="8"/>
  <c r="J15" i="6" s="1"/>
  <c r="J40" i="6" s="1"/>
  <c r="G18" i="8"/>
  <c r="K15" i="6" s="1"/>
  <c r="K40" i="6" s="1"/>
  <c r="K43" i="6" s="1"/>
  <c r="K4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<sst xmlns="http://schemas.openxmlformats.org/spreadsheetml/2006/main" count="326" uniqueCount="141">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</sst>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0" fontId="5" fillId="0" borderId="0" xfId="4" applyFont="1" applyBorder="1"/>
    <xf numFmtId="40" fontId="5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495300</xdr:colOff>
      <xdr:row>22</xdr:row>
      <xdr:rowOff>83820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8FCE1F4-538F-4CAC-8F40-42C3B900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68100" cy="410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18</xdr:col>
      <xdr:colOff>99060</xdr:colOff>
      <xdr:row>66</xdr:row>
      <xdr:rowOff>83820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BD58EC01-5177-422B-962F-6AF7AB00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"/>
          <a:ext cx="11071860" cy="776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9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1500000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500000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</f>
        <v>1500000</v>
      </c>
      <c r="F15" s="134"/>
      <c r="G15" s="142">
        <f t="shared" ref="G15:G37" si="0">E15+F15</f>
        <v>1500000</v>
      </c>
      <c r="H15" s="134">
        <f>'RECAP #9420.00'!D18</f>
        <v>1201573.97</v>
      </c>
      <c r="I15" s="134">
        <f>'RECAP #9420.00'!E18</f>
        <v>434667.99</v>
      </c>
      <c r="J15" s="134">
        <f>'RECAP #9420.00'!F18</f>
        <v>766905.98</v>
      </c>
      <c r="K15" s="134">
        <f>'RECAP #9420.00'!G18</f>
        <v>298426.03000000003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1500000</v>
      </c>
      <c r="F40" s="161">
        <f t="shared" ref="F40:K40" si="1">SUM(F13:F39)</f>
        <v>0</v>
      </c>
      <c r="G40" s="161">
        <f t="shared" si="1"/>
        <v>1500000</v>
      </c>
      <c r="H40" s="161">
        <f t="shared" si="1"/>
        <v>1201573.97</v>
      </c>
      <c r="I40" s="161">
        <f t="shared" si="1"/>
        <v>434667.99</v>
      </c>
      <c r="J40" s="161">
        <f t="shared" si="1"/>
        <v>766905.98</v>
      </c>
      <c r="K40" s="161">
        <f t="shared" si="1"/>
        <v>298426.03000000003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500000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798426.03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-1201573.97</v>
      </c>
      <c r="K45" s="175">
        <f>SUM(J44:J45)</f>
        <v>798426.03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zoomScaleNormal="100" workbookViewId="0">
      <selection activeCell="F17" sqref="F1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1500000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77</v>
      </c>
      <c r="C10" s="26"/>
      <c r="D10" s="24">
        <f>'#9420.00 Neumann Brothers'!D23</f>
        <v>262788</v>
      </c>
      <c r="E10" s="24">
        <f>'#9420.00 Neumann Brothers'!F23</f>
        <v>97072.54</v>
      </c>
      <c r="F10" s="24">
        <f>'#9420.00 Neumann Brothers'!H23</f>
        <v>165715.46000000002</v>
      </c>
      <c r="G10" s="25"/>
      <c r="H10" s="17"/>
    </row>
    <row r="11" spans="1:8" x14ac:dyDescent="0.2">
      <c r="B11" s="5" t="s">
        <v>14</v>
      </c>
      <c r="C11" s="26"/>
      <c r="D11" s="24">
        <f>'#9420.00 PM TIME'!E23</f>
        <v>20000</v>
      </c>
      <c r="E11" s="24">
        <f>'#9420.00 PM TIME'!G23</f>
        <v>11412.75</v>
      </c>
      <c r="F11" s="24">
        <f>'#9420.00 PM TIME'!I23</f>
        <v>8587.25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0</v>
      </c>
      <c r="E12" s="28">
        <f>'#9420.00 Misc'!G22</f>
        <v>0</v>
      </c>
      <c r="F12" s="24">
        <f>D12-E12</f>
        <v>0</v>
      </c>
      <c r="G12" s="25"/>
      <c r="H12" s="17"/>
    </row>
    <row r="13" spans="1:8" x14ac:dyDescent="0.2">
      <c r="B13" s="5" t="s">
        <v>89</v>
      </c>
      <c r="C13" s="27"/>
      <c r="D13" s="28">
        <f>'#9420.00 Samuels Group'!D23</f>
        <v>136581.54</v>
      </c>
      <c r="E13" s="28">
        <f>'#9420.00 Samuels Group'!F23</f>
        <v>60152.28</v>
      </c>
      <c r="F13" s="24">
        <f>'#9420.00 Samuels Group'!H23</f>
        <v>76429.260000000009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722956.1</v>
      </c>
      <c r="E14" s="28">
        <f>'#9420.00 Neumann Brothers (2)'!F23</f>
        <v>266030.42</v>
      </c>
      <c r="F14" s="24">
        <f>'#9420.00 Neumann Brothers (2)'!H23</f>
        <v>456925.68</v>
      </c>
      <c r="G14" s="25"/>
      <c r="H14" s="17"/>
    </row>
    <row r="15" spans="1:8" x14ac:dyDescent="0.2">
      <c r="B15" s="5" t="s">
        <v>110</v>
      </c>
      <c r="C15" s="27"/>
      <c r="D15" s="28">
        <f>'#9420.00 MTS Contracting'!D23</f>
        <v>20358.400000000001</v>
      </c>
      <c r="E15" s="28">
        <f>'#9420.00 MTS Contracting'!F23</f>
        <v>0</v>
      </c>
      <c r="F15" s="24">
        <f>'#9420.00 MTS Contracting'!H23</f>
        <v>20358.400000000001</v>
      </c>
      <c r="G15" s="25"/>
      <c r="H15" s="17"/>
    </row>
    <row r="16" spans="1:8" x14ac:dyDescent="0.2">
      <c r="B16" s="5" t="s">
        <v>117</v>
      </c>
      <c r="C16" s="27"/>
      <c r="D16" s="28">
        <f>'#9420.00 MTS Contracting (2)'!D23</f>
        <v>38889.93</v>
      </c>
      <c r="E16" s="28">
        <f>'#9420.00 MTS Contracting (2)'!F23</f>
        <v>0</v>
      </c>
      <c r="F16" s="24">
        <f>'#9420.00 MTS Contracting (2)'!H23</f>
        <v>38889.93</v>
      </c>
      <c r="G16" s="25"/>
      <c r="H16" s="17"/>
    </row>
    <row r="17" spans="1:7" s="17" customFormat="1" ht="13.35" customHeight="1" x14ac:dyDescent="0.2">
      <c r="A17" s="12"/>
      <c r="B17" s="5"/>
      <c r="C17" s="27"/>
      <c r="D17" s="28"/>
      <c r="E17" s="28"/>
      <c r="F17" s="24"/>
      <c r="G17" s="29"/>
    </row>
    <row r="18" spans="1:7" s="30" customFormat="1" ht="24" customHeight="1" thickBot="1" x14ac:dyDescent="0.3">
      <c r="B18" s="31" t="s">
        <v>16</v>
      </c>
      <c r="C18" s="32">
        <f>SUM(C8:C17)</f>
        <v>1500000</v>
      </c>
      <c r="D18" s="32">
        <f>SUM(D8:D17)</f>
        <v>1201573.97</v>
      </c>
      <c r="E18" s="32">
        <f>SUM(E8:E17)</f>
        <v>434667.99</v>
      </c>
      <c r="F18" s="32">
        <f>SUM(D18-E18)</f>
        <v>766905.98</v>
      </c>
      <c r="G18" s="32">
        <f>C18-D18</f>
        <v>298426.03000000003</v>
      </c>
    </row>
    <row r="19" spans="1:7" s="17" customFormat="1" ht="13.35" customHeight="1" thickTop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7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7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7" x14ac:dyDescent="0.2">
      <c r="D27" s="33"/>
    </row>
    <row r="28" spans="1:7" x14ac:dyDescent="0.2">
      <c r="D28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7"/>
  <sheetViews>
    <sheetView zoomScaleNormal="100" workbookViewId="0">
      <selection activeCell="L34" sqref="L3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1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6.570312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11" t="s">
        <v>125</v>
      </c>
    </row>
    <row r="9" spans="1:9" x14ac:dyDescent="0.2">
      <c r="A9" s="59" t="s">
        <v>96</v>
      </c>
      <c r="B9" s="60">
        <v>45478</v>
      </c>
      <c r="C9" s="61" t="s">
        <v>82</v>
      </c>
      <c r="D9" s="202">
        <v>262788</v>
      </c>
      <c r="E9" s="63">
        <f>D9</f>
        <v>262788</v>
      </c>
      <c r="F9" s="64"/>
      <c r="G9" s="64"/>
      <c r="H9" s="64">
        <f>E9</f>
        <v>262788</v>
      </c>
    </row>
    <row r="10" spans="1:9" x14ac:dyDescent="0.2">
      <c r="A10" s="59" t="s">
        <v>123</v>
      </c>
      <c r="B10" s="66">
        <v>45579</v>
      </c>
      <c r="C10" s="61" t="s">
        <v>124</v>
      </c>
      <c r="D10" s="62"/>
      <c r="E10" s="63">
        <f t="shared" ref="E10:E21" si="0">E9+D10</f>
        <v>262788</v>
      </c>
      <c r="F10" s="203">
        <v>52678.36</v>
      </c>
      <c r="G10" s="64">
        <f t="shared" ref="G10:G21" si="1">G9+F10</f>
        <v>52678.36</v>
      </c>
      <c r="H10" s="64">
        <f t="shared" ref="H10:H21" si="2">H9-F10+D10</f>
        <v>210109.64</v>
      </c>
      <c r="I10" s="212">
        <f>2772.54</f>
        <v>2772.54</v>
      </c>
    </row>
    <row r="11" spans="1:9" x14ac:dyDescent="0.2">
      <c r="A11" s="59" t="s">
        <v>129</v>
      </c>
      <c r="B11" s="60">
        <v>45596</v>
      </c>
      <c r="C11" s="61" t="s">
        <v>130</v>
      </c>
      <c r="D11" s="62"/>
      <c r="E11" s="63">
        <f t="shared" si="0"/>
        <v>262788</v>
      </c>
      <c r="F11" s="203">
        <v>21145.29</v>
      </c>
      <c r="G11" s="64">
        <f t="shared" si="1"/>
        <v>73823.649999999994</v>
      </c>
      <c r="H11" s="64">
        <f t="shared" si="2"/>
        <v>188964.35</v>
      </c>
      <c r="I11" s="212">
        <f>I10+1112.91</f>
        <v>3885.45</v>
      </c>
    </row>
    <row r="12" spans="1:9" x14ac:dyDescent="0.2">
      <c r="A12" s="59" t="s">
        <v>134</v>
      </c>
      <c r="B12" s="60">
        <v>45608</v>
      </c>
      <c r="C12" s="61" t="s">
        <v>135</v>
      </c>
      <c r="D12" s="63"/>
      <c r="E12" s="63">
        <f t="shared" si="0"/>
        <v>262788</v>
      </c>
      <c r="F12" s="203">
        <v>23248.89</v>
      </c>
      <c r="G12" s="64">
        <f t="shared" si="1"/>
        <v>97072.54</v>
      </c>
      <c r="H12" s="64">
        <f t="shared" si="2"/>
        <v>165715.46000000002</v>
      </c>
      <c r="I12" s="212">
        <f>I11+1223.63</f>
        <v>5109.08</v>
      </c>
    </row>
    <row r="13" spans="1:9" x14ac:dyDescent="0.2">
      <c r="A13" s="59"/>
      <c r="B13" s="60"/>
      <c r="C13" s="61"/>
      <c r="D13" s="63"/>
      <c r="E13" s="63">
        <f t="shared" si="0"/>
        <v>262788</v>
      </c>
      <c r="F13" s="67"/>
      <c r="G13" s="64">
        <f t="shared" si="1"/>
        <v>97072.54</v>
      </c>
      <c r="H13" s="64">
        <f t="shared" si="2"/>
        <v>165715.46000000002</v>
      </c>
    </row>
    <row r="14" spans="1:9" x14ac:dyDescent="0.2">
      <c r="A14" s="59"/>
      <c r="B14" s="60"/>
      <c r="C14" s="61"/>
      <c r="D14" s="63"/>
      <c r="E14" s="63">
        <f t="shared" si="0"/>
        <v>262788</v>
      </c>
      <c r="F14" s="64"/>
      <c r="G14" s="64">
        <f t="shared" si="1"/>
        <v>97072.54</v>
      </c>
      <c r="H14" s="64">
        <f t="shared" si="2"/>
        <v>165715.46000000002</v>
      </c>
    </row>
    <row r="15" spans="1:9" x14ac:dyDescent="0.2">
      <c r="A15" s="59"/>
      <c r="B15" s="60"/>
      <c r="C15" s="61"/>
      <c r="D15" s="63"/>
      <c r="E15" s="63">
        <f t="shared" si="0"/>
        <v>262788</v>
      </c>
      <c r="F15" s="67"/>
      <c r="G15" s="64">
        <f t="shared" si="1"/>
        <v>97072.54</v>
      </c>
      <c r="H15" s="64">
        <f t="shared" si="2"/>
        <v>165715.46000000002</v>
      </c>
    </row>
    <row r="16" spans="1:9" x14ac:dyDescent="0.2">
      <c r="A16" s="59"/>
      <c r="B16" s="60"/>
      <c r="C16" s="61"/>
      <c r="D16" s="63"/>
      <c r="E16" s="63">
        <f t="shared" si="0"/>
        <v>262788</v>
      </c>
      <c r="F16" s="67"/>
      <c r="G16" s="64">
        <f t="shared" si="1"/>
        <v>97072.54</v>
      </c>
      <c r="H16" s="64">
        <f t="shared" si="2"/>
        <v>165715.46000000002</v>
      </c>
    </row>
    <row r="17" spans="1:8" x14ac:dyDescent="0.2">
      <c r="A17" s="59"/>
      <c r="B17" s="60"/>
      <c r="C17" s="61"/>
      <c r="D17" s="63"/>
      <c r="E17" s="63">
        <f t="shared" si="0"/>
        <v>262788</v>
      </c>
      <c r="F17" s="67"/>
      <c r="G17" s="64">
        <f t="shared" si="1"/>
        <v>97072.54</v>
      </c>
      <c r="H17" s="64">
        <f t="shared" si="2"/>
        <v>165715.46000000002</v>
      </c>
    </row>
    <row r="18" spans="1:8" x14ac:dyDescent="0.2">
      <c r="A18" s="59"/>
      <c r="B18" s="60"/>
      <c r="C18" s="61"/>
      <c r="D18" s="63"/>
      <c r="E18" s="63">
        <f t="shared" si="0"/>
        <v>262788</v>
      </c>
      <c r="F18" s="67"/>
      <c r="G18" s="64">
        <f t="shared" si="1"/>
        <v>97072.54</v>
      </c>
      <c r="H18" s="64">
        <f t="shared" si="2"/>
        <v>165715.46000000002</v>
      </c>
    </row>
    <row r="19" spans="1:8" x14ac:dyDescent="0.2">
      <c r="A19" s="59"/>
      <c r="B19" s="60"/>
      <c r="C19" s="61"/>
      <c r="D19" s="63"/>
      <c r="E19" s="63">
        <f t="shared" si="0"/>
        <v>262788</v>
      </c>
      <c r="F19" s="64"/>
      <c r="G19" s="64">
        <f t="shared" si="1"/>
        <v>97072.54</v>
      </c>
      <c r="H19" s="64">
        <f t="shared" si="2"/>
        <v>165715.46000000002</v>
      </c>
    </row>
    <row r="20" spans="1:8" x14ac:dyDescent="0.2">
      <c r="A20" s="59"/>
      <c r="B20" s="60"/>
      <c r="C20" s="61"/>
      <c r="D20" s="63"/>
      <c r="E20" s="63">
        <f t="shared" si="0"/>
        <v>262788</v>
      </c>
      <c r="F20" s="64"/>
      <c r="G20" s="64">
        <f t="shared" si="1"/>
        <v>97072.54</v>
      </c>
      <c r="H20" s="64">
        <f t="shared" si="2"/>
        <v>165715.46000000002</v>
      </c>
    </row>
    <row r="21" spans="1:8" x14ac:dyDescent="0.2">
      <c r="A21" s="59"/>
      <c r="B21" s="60"/>
      <c r="C21" s="68"/>
      <c r="D21" s="63"/>
      <c r="E21" s="63">
        <f t="shared" si="0"/>
        <v>262788</v>
      </c>
      <c r="F21" s="64"/>
      <c r="G21" s="64">
        <f t="shared" si="1"/>
        <v>97072.54</v>
      </c>
      <c r="H21" s="64">
        <f t="shared" si="2"/>
        <v>165715.46000000002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262788</v>
      </c>
      <c r="E23" s="72"/>
      <c r="F23" s="72">
        <f>SUM(F9:F22)</f>
        <v>97072.54</v>
      </c>
      <c r="G23" s="72"/>
      <c r="H23" s="72">
        <f>D23-F23</f>
        <v>165715.46000000002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83</v>
      </c>
      <c r="D26" s="64">
        <v>118304.4</v>
      </c>
      <c r="E26" s="64"/>
      <c r="F26" s="64">
        <f>25349.61+5584+13117.98</f>
        <v>44051.59</v>
      </c>
      <c r="G26" s="64"/>
      <c r="H26" s="64">
        <f>D26-F26</f>
        <v>74252.81</v>
      </c>
    </row>
    <row r="27" spans="1:8" x14ac:dyDescent="0.2">
      <c r="A27" s="73"/>
      <c r="B27" s="61"/>
      <c r="C27" s="69" t="s">
        <v>84</v>
      </c>
      <c r="D27" s="64">
        <v>77346</v>
      </c>
      <c r="E27" s="64"/>
      <c r="F27" s="64">
        <f>25255.4+10536.66+8220.67</f>
        <v>44012.729999999996</v>
      </c>
      <c r="G27" s="64"/>
      <c r="H27" s="64">
        <f>D27-F27</f>
        <v>33333.270000000004</v>
      </c>
    </row>
    <row r="28" spans="1:8" x14ac:dyDescent="0.2">
      <c r="A28" s="73"/>
      <c r="B28" s="61"/>
      <c r="C28" s="69" t="s">
        <v>85</v>
      </c>
      <c r="D28" s="64">
        <v>27544.799999999999</v>
      </c>
      <c r="E28" s="64"/>
      <c r="F28" s="64">
        <f>1199.35+436.13+817.74</f>
        <v>2453.2200000000003</v>
      </c>
      <c r="G28" s="64"/>
      <c r="H28" s="64">
        <f>D28-F28</f>
        <v>25091.579999999998</v>
      </c>
    </row>
    <row r="29" spans="1:8" x14ac:dyDescent="0.2">
      <c r="A29" s="73"/>
      <c r="B29" s="61"/>
      <c r="C29" s="69" t="s">
        <v>86</v>
      </c>
      <c r="D29" s="64">
        <v>6900</v>
      </c>
      <c r="E29" s="64"/>
      <c r="F29" s="64">
        <f>874+4588.5+1092.5</f>
        <v>6555</v>
      </c>
      <c r="G29" s="64"/>
      <c r="H29" s="64">
        <f>D29-F29</f>
        <v>345</v>
      </c>
    </row>
    <row r="30" spans="1:8" x14ac:dyDescent="0.2">
      <c r="A30" s="73"/>
      <c r="B30" s="61"/>
      <c r="C30" s="69" t="s">
        <v>87</v>
      </c>
      <c r="D30" s="64">
        <v>32692.799999999999</v>
      </c>
      <c r="E30" s="64"/>
      <c r="F30" s="64"/>
      <c r="G30" s="64"/>
      <c r="H30" s="64">
        <f>D30-F30</f>
        <v>32692.799999999999</v>
      </c>
    </row>
    <row r="31" spans="1:8" ht="13.5" thickBot="1" x14ac:dyDescent="0.25">
      <c r="A31" s="73"/>
      <c r="B31" s="61"/>
      <c r="C31" s="69"/>
      <c r="D31" s="213">
        <f>SUM(D26:D30)</f>
        <v>262788</v>
      </c>
      <c r="E31" s="64"/>
      <c r="F31" s="213">
        <f>SUM(F26:F30)</f>
        <v>97072.54</v>
      </c>
      <c r="G31" s="64"/>
      <c r="H31" s="213">
        <f>SUM(H26:H30)</f>
        <v>165715.46</v>
      </c>
    </row>
    <row r="32" spans="1:8" ht="13.5" thickTop="1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topLeftCell="A4"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3.42578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21" si="0">F9+E10</f>
        <v>20000</v>
      </c>
      <c r="G10" s="203">
        <f>160.43+83.44</f>
        <v>243.87</v>
      </c>
      <c r="H10" s="64">
        <f t="shared" ref="H10:H21" si="1">H9+G10</f>
        <v>243.87</v>
      </c>
      <c r="I10" s="64">
        <f t="shared" ref="I10:I21" si="2">I9-G10+E10</f>
        <v>19756.13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20000</v>
      </c>
      <c r="G11" s="203">
        <f>210+2450.8</f>
        <v>2660.8</v>
      </c>
      <c r="H11" s="64">
        <f t="shared" si="1"/>
        <v>2904.67</v>
      </c>
      <c r="I11" s="64">
        <f t="shared" si="2"/>
        <v>17095.330000000002</v>
      </c>
    </row>
    <row r="12" spans="1:10" x14ac:dyDescent="0.2">
      <c r="A12" s="210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20000</v>
      </c>
      <c r="G12" s="203">
        <f>283.61+119.91</f>
        <v>403.52</v>
      </c>
      <c r="H12" s="64">
        <f t="shared" si="1"/>
        <v>3308.19</v>
      </c>
      <c r="I12" s="64">
        <f t="shared" si="2"/>
        <v>16691.810000000001</v>
      </c>
    </row>
    <row r="13" spans="1:10" x14ac:dyDescent="0.2">
      <c r="A13" s="210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20000</v>
      </c>
      <c r="G13" s="203">
        <f>148+1907.4</f>
        <v>2055.4</v>
      </c>
      <c r="H13" s="64">
        <f t="shared" si="1"/>
        <v>5363.59</v>
      </c>
      <c r="I13" s="64">
        <f t="shared" si="2"/>
        <v>14636.410000000002</v>
      </c>
    </row>
    <row r="14" spans="1:10" x14ac:dyDescent="0.2">
      <c r="A14" s="210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20000</v>
      </c>
      <c r="G14" s="203">
        <f>199.37+72.22</f>
        <v>271.59000000000003</v>
      </c>
      <c r="H14" s="64">
        <f t="shared" si="1"/>
        <v>5635.18</v>
      </c>
      <c r="I14" s="64">
        <f t="shared" si="2"/>
        <v>14364.820000000002</v>
      </c>
    </row>
    <row r="15" spans="1:10" x14ac:dyDescent="0.2">
      <c r="A15" s="210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20000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11950.02</v>
      </c>
    </row>
    <row r="16" spans="1:10" x14ac:dyDescent="0.2">
      <c r="A16" s="210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20000</v>
      </c>
      <c r="G16" s="203">
        <f>144.77+294.5</f>
        <v>439.27</v>
      </c>
      <c r="H16" s="64">
        <f t="shared" si="1"/>
        <v>8489.25</v>
      </c>
      <c r="I16" s="64">
        <f t="shared" si="2"/>
        <v>11510.75</v>
      </c>
    </row>
    <row r="17" spans="1:9" x14ac:dyDescent="0.2">
      <c r="A17" s="210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20000</v>
      </c>
      <c r="G17" s="203">
        <f>217.5+2706</f>
        <v>2923.5</v>
      </c>
      <c r="H17" s="64">
        <f t="shared" si="1"/>
        <v>11412.75</v>
      </c>
      <c r="I17" s="64">
        <f t="shared" si="2"/>
        <v>8587.25</v>
      </c>
    </row>
    <row r="18" spans="1:9" x14ac:dyDescent="0.2">
      <c r="A18" s="85"/>
      <c r="B18" s="60"/>
      <c r="C18" s="60"/>
      <c r="D18" s="83"/>
      <c r="E18" s="63"/>
      <c r="F18" s="63">
        <f t="shared" si="0"/>
        <v>20000</v>
      </c>
      <c r="G18" s="67"/>
      <c r="H18" s="64">
        <f t="shared" si="1"/>
        <v>11412.75</v>
      </c>
      <c r="I18" s="64">
        <f t="shared" si="2"/>
        <v>8587.25</v>
      </c>
    </row>
    <row r="19" spans="1:9" x14ac:dyDescent="0.2">
      <c r="A19" s="82"/>
      <c r="B19" s="60"/>
      <c r="C19" s="60"/>
      <c r="D19" s="83"/>
      <c r="E19" s="63"/>
      <c r="F19" s="63">
        <f t="shared" si="0"/>
        <v>20000</v>
      </c>
      <c r="G19" s="67"/>
      <c r="H19" s="64">
        <f t="shared" si="1"/>
        <v>11412.75</v>
      </c>
      <c r="I19" s="64">
        <f t="shared" si="2"/>
        <v>8587.25</v>
      </c>
    </row>
    <row r="20" spans="1:9" x14ac:dyDescent="0.2">
      <c r="A20" s="82"/>
      <c r="B20" s="60"/>
      <c r="C20" s="60"/>
      <c r="D20" s="83"/>
      <c r="E20" s="63"/>
      <c r="F20" s="63">
        <f t="shared" si="0"/>
        <v>20000</v>
      </c>
      <c r="G20" s="67"/>
      <c r="H20" s="64">
        <f t="shared" si="1"/>
        <v>11412.75</v>
      </c>
      <c r="I20" s="64">
        <f t="shared" si="2"/>
        <v>8587.25</v>
      </c>
    </row>
    <row r="21" spans="1:9" x14ac:dyDescent="0.2">
      <c r="A21" s="82"/>
      <c r="B21" s="60"/>
      <c r="C21" s="60"/>
      <c r="D21" s="86"/>
      <c r="E21" s="63"/>
      <c r="F21" s="63">
        <f t="shared" si="0"/>
        <v>20000</v>
      </c>
      <c r="G21" s="67"/>
      <c r="H21" s="64">
        <f t="shared" si="1"/>
        <v>11412.75</v>
      </c>
      <c r="I21" s="64">
        <f t="shared" si="2"/>
        <v>8587.25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20000</v>
      </c>
      <c r="F23" s="72"/>
      <c r="G23" s="72">
        <f>SUM(G9:G22)</f>
        <v>11412.75</v>
      </c>
      <c r="H23" s="72"/>
      <c r="I23" s="72">
        <f>E23-G23</f>
        <v>8587.25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627"/>
  <sheetViews>
    <sheetView zoomScaleNormal="100" workbookViewId="0">
      <selection activeCell="M27" sqref="M2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0.71093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89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97</v>
      </c>
      <c r="B9" s="60">
        <v>45478</v>
      </c>
      <c r="C9" s="61" t="s">
        <v>82</v>
      </c>
      <c r="D9" s="202">
        <v>75929.320000000007</v>
      </c>
      <c r="E9" s="63">
        <f>D9</f>
        <v>75929.320000000007</v>
      </c>
      <c r="F9" s="64"/>
      <c r="G9" s="64"/>
      <c r="H9" s="64">
        <f>E9</f>
        <v>75929.320000000007</v>
      </c>
    </row>
    <row r="10" spans="1:9" x14ac:dyDescent="0.2">
      <c r="A10" s="59" t="s">
        <v>101</v>
      </c>
      <c r="B10" s="66">
        <v>45512</v>
      </c>
      <c r="C10" s="61" t="s">
        <v>102</v>
      </c>
      <c r="D10" s="63"/>
      <c r="E10" s="63">
        <f t="shared" ref="E10:E21" si="0">E9+D10</f>
        <v>75929.320000000007</v>
      </c>
      <c r="F10" s="203">
        <v>13456.74</v>
      </c>
      <c r="G10" s="64">
        <f t="shared" ref="G10:G21" si="1">G9+F10</f>
        <v>13456.74</v>
      </c>
      <c r="H10" s="64">
        <f t="shared" ref="H10:H21" si="2">H9-F10+D10</f>
        <v>62472.580000000009</v>
      </c>
    </row>
    <row r="11" spans="1:9" x14ac:dyDescent="0.2">
      <c r="A11" s="59" t="s">
        <v>97</v>
      </c>
      <c r="B11" s="60">
        <v>45541</v>
      </c>
      <c r="C11" s="61" t="s">
        <v>106</v>
      </c>
      <c r="D11" s="202">
        <v>7712.4</v>
      </c>
      <c r="E11" s="63">
        <f t="shared" si="0"/>
        <v>83641.72</v>
      </c>
      <c r="F11" s="203"/>
      <c r="G11" s="64">
        <f t="shared" si="1"/>
        <v>13456.74</v>
      </c>
      <c r="H11" s="64">
        <f t="shared" si="2"/>
        <v>70184.98000000001</v>
      </c>
    </row>
    <row r="12" spans="1:9" x14ac:dyDescent="0.2">
      <c r="A12" s="59" t="s">
        <v>108</v>
      </c>
      <c r="B12" s="60">
        <v>45548</v>
      </c>
      <c r="C12" s="61" t="s">
        <v>109</v>
      </c>
      <c r="D12" s="63"/>
      <c r="E12" s="63">
        <f t="shared" si="0"/>
        <v>83641.72</v>
      </c>
      <c r="F12" s="203">
        <v>13861.42</v>
      </c>
      <c r="G12" s="64">
        <f t="shared" si="1"/>
        <v>27318.16</v>
      </c>
      <c r="H12" s="64">
        <f t="shared" si="2"/>
        <v>56323.560000000012</v>
      </c>
    </row>
    <row r="13" spans="1:9" x14ac:dyDescent="0.2">
      <c r="A13" s="59" t="s">
        <v>119</v>
      </c>
      <c r="B13" s="60">
        <v>45567</v>
      </c>
      <c r="C13" s="61" t="s">
        <v>120</v>
      </c>
      <c r="D13" s="63"/>
      <c r="E13" s="63">
        <f t="shared" si="0"/>
        <v>83641.72</v>
      </c>
      <c r="F13" s="203">
        <v>14921.06</v>
      </c>
      <c r="G13" s="64">
        <f t="shared" si="1"/>
        <v>42239.22</v>
      </c>
      <c r="H13" s="64">
        <f t="shared" si="2"/>
        <v>41402.500000000015</v>
      </c>
    </row>
    <row r="14" spans="1:9" x14ac:dyDescent="0.2">
      <c r="A14" s="59" t="s">
        <v>136</v>
      </c>
      <c r="B14" s="60">
        <v>45608</v>
      </c>
      <c r="C14" s="61" t="s">
        <v>137</v>
      </c>
      <c r="D14" s="63"/>
      <c r="E14" s="63">
        <f t="shared" si="0"/>
        <v>83641.72</v>
      </c>
      <c r="F14" s="203">
        <v>17913.060000000001</v>
      </c>
      <c r="G14" s="64">
        <f t="shared" si="1"/>
        <v>60152.28</v>
      </c>
      <c r="H14" s="64">
        <f t="shared" si="2"/>
        <v>23489.440000000013</v>
      </c>
    </row>
    <row r="15" spans="1:9" x14ac:dyDescent="0.2">
      <c r="A15" s="59" t="s">
        <v>97</v>
      </c>
      <c r="B15" s="60">
        <v>45611</v>
      </c>
      <c r="C15" s="61" t="s">
        <v>122</v>
      </c>
      <c r="D15" s="202">
        <v>52939.82</v>
      </c>
      <c r="E15" s="63">
        <f t="shared" si="0"/>
        <v>136581.54</v>
      </c>
      <c r="F15" s="67"/>
      <c r="G15" s="64">
        <f t="shared" si="1"/>
        <v>60152.28</v>
      </c>
      <c r="H15" s="64">
        <f t="shared" si="2"/>
        <v>76429.260000000009</v>
      </c>
    </row>
    <row r="16" spans="1:9" x14ac:dyDescent="0.2">
      <c r="A16" s="59"/>
      <c r="B16" s="60"/>
      <c r="C16" s="61"/>
      <c r="D16" s="63"/>
      <c r="E16" s="63">
        <f t="shared" si="0"/>
        <v>136581.54</v>
      </c>
      <c r="F16" s="67"/>
      <c r="G16" s="64">
        <f t="shared" si="1"/>
        <v>60152.28</v>
      </c>
      <c r="H16" s="64">
        <f t="shared" si="2"/>
        <v>76429.260000000009</v>
      </c>
    </row>
    <row r="17" spans="1:8" x14ac:dyDescent="0.2">
      <c r="A17" s="59"/>
      <c r="B17" s="60"/>
      <c r="C17" s="61"/>
      <c r="D17" s="63"/>
      <c r="E17" s="63">
        <f t="shared" si="0"/>
        <v>136581.54</v>
      </c>
      <c r="F17" s="67"/>
      <c r="G17" s="64">
        <f t="shared" si="1"/>
        <v>60152.28</v>
      </c>
      <c r="H17" s="64">
        <f t="shared" si="2"/>
        <v>76429.260000000009</v>
      </c>
    </row>
    <row r="18" spans="1:8" x14ac:dyDescent="0.2">
      <c r="A18" s="59"/>
      <c r="B18" s="60"/>
      <c r="C18" s="61"/>
      <c r="D18" s="63"/>
      <c r="E18" s="63">
        <f t="shared" si="0"/>
        <v>136581.54</v>
      </c>
      <c r="F18" s="67"/>
      <c r="G18" s="64">
        <f t="shared" si="1"/>
        <v>60152.28</v>
      </c>
      <c r="H18" s="64">
        <f t="shared" si="2"/>
        <v>76429.260000000009</v>
      </c>
    </row>
    <row r="19" spans="1:8" x14ac:dyDescent="0.2">
      <c r="A19" s="59"/>
      <c r="B19" s="60"/>
      <c r="C19" s="61"/>
      <c r="D19" s="63"/>
      <c r="E19" s="63">
        <f t="shared" si="0"/>
        <v>136581.54</v>
      </c>
      <c r="F19" s="64"/>
      <c r="G19" s="64">
        <f t="shared" si="1"/>
        <v>60152.28</v>
      </c>
      <c r="H19" s="64">
        <f t="shared" si="2"/>
        <v>76429.260000000009</v>
      </c>
    </row>
    <row r="20" spans="1:8" x14ac:dyDescent="0.2">
      <c r="A20" s="59"/>
      <c r="B20" s="60"/>
      <c r="C20" s="61"/>
      <c r="D20" s="63"/>
      <c r="E20" s="63">
        <f t="shared" si="0"/>
        <v>136581.54</v>
      </c>
      <c r="F20" s="64"/>
      <c r="G20" s="64">
        <f t="shared" si="1"/>
        <v>60152.28</v>
      </c>
      <c r="H20" s="64">
        <f t="shared" si="2"/>
        <v>76429.260000000009</v>
      </c>
    </row>
    <row r="21" spans="1:8" x14ac:dyDescent="0.2">
      <c r="A21" s="59"/>
      <c r="B21" s="60"/>
      <c r="C21" s="68"/>
      <c r="D21" s="63"/>
      <c r="E21" s="63">
        <f t="shared" si="0"/>
        <v>136581.54</v>
      </c>
      <c r="F21" s="64"/>
      <c r="G21" s="64">
        <f t="shared" si="1"/>
        <v>60152.28</v>
      </c>
      <c r="H21" s="64">
        <f t="shared" si="2"/>
        <v>76429.260000000009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136581.54</v>
      </c>
      <c r="E23" s="72"/>
      <c r="F23" s="72">
        <f>SUM(F9:F22)</f>
        <v>60152.28</v>
      </c>
      <c r="G23" s="72"/>
      <c r="H23" s="72">
        <f>D23-F23</f>
        <v>76429.260000000009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93</v>
      </c>
      <c r="D26" s="64">
        <v>60789.919999999998</v>
      </c>
      <c r="E26" s="64"/>
      <c r="F26" s="64">
        <f>11056.74+11361.42+12212.91+12679.37</f>
        <v>47310.44</v>
      </c>
      <c r="G26" s="64"/>
      <c r="H26" s="64">
        <f>D26-F26</f>
        <v>13479.479999999996</v>
      </c>
    </row>
    <row r="27" spans="1:8" x14ac:dyDescent="0.2">
      <c r="A27" s="73"/>
      <c r="B27" s="61"/>
      <c r="C27" s="69" t="s">
        <v>94</v>
      </c>
      <c r="D27" s="64">
        <v>2000</v>
      </c>
      <c r="E27" s="64"/>
      <c r="F27" s="64">
        <f>99.51</f>
        <v>99.51</v>
      </c>
      <c r="G27" s="64"/>
      <c r="H27" s="64">
        <f>D27-F27</f>
        <v>1900.49</v>
      </c>
    </row>
    <row r="28" spans="1:8" x14ac:dyDescent="0.2">
      <c r="A28" s="73"/>
      <c r="B28" s="61"/>
      <c r="C28" s="69" t="s">
        <v>95</v>
      </c>
      <c r="D28" s="64">
        <v>13139.4</v>
      </c>
      <c r="E28" s="64"/>
      <c r="F28" s="64">
        <f>2400+2500+2000+1200</f>
        <v>8100</v>
      </c>
      <c r="G28" s="64"/>
      <c r="H28" s="64">
        <f>D28-F28</f>
        <v>5039.3999999999996</v>
      </c>
    </row>
    <row r="29" spans="1:8" x14ac:dyDescent="0.2">
      <c r="A29" s="73"/>
      <c r="B29" s="61"/>
      <c r="C29" s="69" t="s">
        <v>106</v>
      </c>
      <c r="D29" s="64">
        <v>7712.4</v>
      </c>
      <c r="E29" s="64"/>
      <c r="F29" s="64">
        <f>708.15+3934.18</f>
        <v>4642.33</v>
      </c>
      <c r="G29" s="64"/>
      <c r="H29" s="64">
        <f>D29-F29</f>
        <v>3070.0699999999997</v>
      </c>
    </row>
    <row r="30" spans="1:8" x14ac:dyDescent="0.2">
      <c r="A30" s="73"/>
      <c r="B30" s="61"/>
      <c r="C30" s="69" t="s">
        <v>122</v>
      </c>
      <c r="D30" s="64">
        <v>52939.82</v>
      </c>
      <c r="E30" s="64"/>
      <c r="F30" s="64"/>
      <c r="G30" s="64"/>
      <c r="H30" s="64">
        <f>D30-F30</f>
        <v>52939.82</v>
      </c>
    </row>
    <row r="31" spans="1:8" ht="13.5" thickBot="1" x14ac:dyDescent="0.25">
      <c r="A31" s="73"/>
      <c r="B31" s="61"/>
      <c r="C31" s="96" t="s">
        <v>107</v>
      </c>
      <c r="D31" s="72">
        <f>SUM(D26:D30)</f>
        <v>136581.53999999998</v>
      </c>
      <c r="E31" s="64"/>
      <c r="F31" s="72">
        <f>SUM(F26:F30)</f>
        <v>60152.280000000006</v>
      </c>
      <c r="G31" s="64"/>
      <c r="H31" s="72">
        <f>SUM(H26:H30)</f>
        <v>76429.259999999995</v>
      </c>
    </row>
    <row r="32" spans="1:8" ht="13.5" thickTop="1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s="80" customFormat="1" x14ac:dyDescent="0.2">
      <c r="A49" s="76"/>
      <c r="B49" s="77"/>
      <c r="C49" s="78"/>
      <c r="D49" s="65"/>
      <c r="E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30">
    <cfRule type="cellIs" dxfId="4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1"/>
  <sheetViews>
    <sheetView topLeftCell="A4" zoomScaleNormal="100" workbookViewId="0">
      <selection activeCell="N34" sqref="N3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11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2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/>
      <c r="B15" s="60"/>
      <c r="C15" s="61"/>
      <c r="D15" s="63"/>
      <c r="E15" s="63">
        <f t="shared" si="0"/>
        <v>722956.1</v>
      </c>
      <c r="F15" s="67"/>
      <c r="G15" s="64">
        <f t="shared" si="1"/>
        <v>266030.42</v>
      </c>
      <c r="H15" s="64">
        <f t="shared" si="2"/>
        <v>456925.68000000005</v>
      </c>
    </row>
    <row r="16" spans="1:9" x14ac:dyDescent="0.2">
      <c r="A16" s="59"/>
      <c r="B16" s="60"/>
      <c r="C16" s="61"/>
      <c r="D16" s="63"/>
      <c r="E16" s="63">
        <f t="shared" si="0"/>
        <v>722956.1</v>
      </c>
      <c r="F16" s="67"/>
      <c r="G16" s="64">
        <f t="shared" si="1"/>
        <v>266030.42</v>
      </c>
      <c r="H16" s="64">
        <f t="shared" si="2"/>
        <v>456925.68000000005</v>
      </c>
    </row>
    <row r="17" spans="1:8" x14ac:dyDescent="0.2">
      <c r="A17" s="59"/>
      <c r="B17" s="60"/>
      <c r="C17" s="61"/>
      <c r="D17" s="63"/>
      <c r="E17" s="63">
        <f t="shared" si="0"/>
        <v>722956.1</v>
      </c>
      <c r="F17" s="67"/>
      <c r="G17" s="64">
        <f t="shared" si="1"/>
        <v>266030.42</v>
      </c>
      <c r="H17" s="64">
        <f t="shared" si="2"/>
        <v>456925.68000000005</v>
      </c>
    </row>
    <row r="18" spans="1:8" x14ac:dyDescent="0.2">
      <c r="A18" s="59"/>
      <c r="B18" s="60"/>
      <c r="C18" s="61"/>
      <c r="D18" s="63"/>
      <c r="E18" s="63">
        <f t="shared" si="0"/>
        <v>722956.1</v>
      </c>
      <c r="F18" s="67"/>
      <c r="G18" s="64">
        <f t="shared" si="1"/>
        <v>266030.42</v>
      </c>
      <c r="H18" s="64">
        <f t="shared" si="2"/>
        <v>456925.68000000005</v>
      </c>
    </row>
    <row r="19" spans="1:8" x14ac:dyDescent="0.2">
      <c r="A19" s="59"/>
      <c r="B19" s="60"/>
      <c r="C19" s="61"/>
      <c r="D19" s="63"/>
      <c r="E19" s="63">
        <f t="shared" si="0"/>
        <v>722956.1</v>
      </c>
      <c r="F19" s="64"/>
      <c r="G19" s="64">
        <f t="shared" si="1"/>
        <v>266030.42</v>
      </c>
      <c r="H19" s="64">
        <f t="shared" si="2"/>
        <v>456925.68000000005</v>
      </c>
    </row>
    <row r="20" spans="1:8" x14ac:dyDescent="0.2">
      <c r="A20" s="59"/>
      <c r="B20" s="60"/>
      <c r="C20" s="61"/>
      <c r="D20" s="63"/>
      <c r="E20" s="63">
        <f t="shared" si="0"/>
        <v>722956.1</v>
      </c>
      <c r="F20" s="64"/>
      <c r="G20" s="64">
        <f t="shared" si="1"/>
        <v>266030.42</v>
      </c>
      <c r="H20" s="64">
        <f t="shared" si="2"/>
        <v>456925.68000000005</v>
      </c>
    </row>
    <row r="21" spans="1:8" x14ac:dyDescent="0.2">
      <c r="A21" s="59"/>
      <c r="B21" s="60"/>
      <c r="C21" s="68"/>
      <c r="D21" s="63"/>
      <c r="E21" s="63">
        <f t="shared" si="0"/>
        <v>722956.1</v>
      </c>
      <c r="F21" s="64"/>
      <c r="G21" s="64">
        <f t="shared" si="1"/>
        <v>266030.42</v>
      </c>
      <c r="H21" s="64">
        <f t="shared" si="2"/>
        <v>456925.68000000005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722956.1</v>
      </c>
      <c r="E23" s="72"/>
      <c r="F23" s="72">
        <f>SUM(F9:F22)</f>
        <v>266030.42</v>
      </c>
      <c r="G23" s="72"/>
      <c r="H23" s="72">
        <f>D23-F23</f>
        <v>456925.68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105</v>
      </c>
      <c r="D26" s="64">
        <v>147881</v>
      </c>
      <c r="E26" s="64"/>
      <c r="F26" s="64">
        <f>96567.83</f>
        <v>96567.83</v>
      </c>
      <c r="G26" s="64"/>
      <c r="H26" s="64">
        <f>D26-F26</f>
        <v>51313.17</v>
      </c>
    </row>
    <row r="27" spans="1:8" x14ac:dyDescent="0.2">
      <c r="A27" s="73"/>
      <c r="B27" s="61"/>
      <c r="C27" s="69" t="s">
        <v>84</v>
      </c>
      <c r="D27" s="64">
        <v>267669</v>
      </c>
      <c r="E27" s="64"/>
      <c r="F27" s="64">
        <f>140257.96</f>
        <v>140257.96</v>
      </c>
      <c r="G27" s="64"/>
      <c r="H27" s="64">
        <f t="shared" ref="H27:H34" si="3">D27-F27</f>
        <v>127411.04000000001</v>
      </c>
    </row>
    <row r="28" spans="1:8" x14ac:dyDescent="0.2">
      <c r="A28" s="73"/>
      <c r="B28" s="61"/>
      <c r="C28" s="69" t="s">
        <v>85</v>
      </c>
      <c r="D28" s="64">
        <v>37989</v>
      </c>
      <c r="E28" s="64"/>
      <c r="F28" s="64">
        <f>19625.67</f>
        <v>19625.669999999998</v>
      </c>
      <c r="G28" s="64"/>
      <c r="H28" s="64">
        <f t="shared" si="3"/>
        <v>18363.330000000002</v>
      </c>
    </row>
    <row r="29" spans="1:8" x14ac:dyDescent="0.2">
      <c r="A29" s="73"/>
      <c r="B29" s="61"/>
      <c r="C29" s="69" t="s">
        <v>86</v>
      </c>
      <c r="D29" s="64">
        <v>9200</v>
      </c>
      <c r="E29" s="64"/>
      <c r="F29" s="64">
        <f>4370</f>
        <v>4370</v>
      </c>
      <c r="G29" s="64"/>
      <c r="H29" s="64">
        <f t="shared" si="3"/>
        <v>4830</v>
      </c>
    </row>
    <row r="30" spans="1:8" x14ac:dyDescent="0.2">
      <c r="A30" s="73"/>
      <c r="B30" s="61"/>
      <c r="C30" s="69" t="s">
        <v>87</v>
      </c>
      <c r="D30" s="64">
        <v>26154</v>
      </c>
      <c r="E30" s="64"/>
      <c r="F30" s="64">
        <f>2717.59</f>
        <v>2717.59</v>
      </c>
      <c r="G30" s="64"/>
      <c r="H30" s="64">
        <f t="shared" si="3"/>
        <v>23436.41</v>
      </c>
    </row>
    <row r="31" spans="1:8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8" x14ac:dyDescent="0.2">
      <c r="A32" s="73"/>
      <c r="B32" s="61"/>
      <c r="C32" s="69" t="s">
        <v>122</v>
      </c>
      <c r="D32" s="64">
        <v>171854.06</v>
      </c>
      <c r="E32" s="64"/>
      <c r="F32" s="64"/>
      <c r="G32" s="64"/>
      <c r="H32" s="64">
        <f t="shared" si="3"/>
        <v>171854.06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/>
      <c r="G34" s="64"/>
      <c r="H34" s="64">
        <f t="shared" si="3"/>
        <v>21482.959999999999</v>
      </c>
    </row>
    <row r="35" spans="1:8" ht="13.5" thickBot="1" x14ac:dyDescent="0.25">
      <c r="A35" s="73"/>
      <c r="B35" s="61"/>
      <c r="C35" s="96" t="s">
        <v>107</v>
      </c>
      <c r="D35" s="213">
        <f>SUM(D26:D34)</f>
        <v>722956.1</v>
      </c>
      <c r="E35" s="64"/>
      <c r="F35" s="213">
        <f>SUM(F26:F34)</f>
        <v>266030.42</v>
      </c>
      <c r="G35" s="64"/>
      <c r="H35" s="213">
        <f>SUM(H26:H34)</f>
        <v>456925.68000000005</v>
      </c>
    </row>
    <row r="36" spans="1:8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28"/>
  <sheetViews>
    <sheetView zoomScaleNormal="100" workbookViewId="0">
      <selection activeCell="K5" sqref="K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110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113</v>
      </c>
      <c r="B9" s="60">
        <v>45513</v>
      </c>
      <c r="C9" s="61" t="s">
        <v>82</v>
      </c>
      <c r="D9" s="202">
        <v>20358.400000000001</v>
      </c>
      <c r="E9" s="63">
        <f>D9</f>
        <v>20358.400000000001</v>
      </c>
      <c r="F9" s="64"/>
      <c r="G9" s="64"/>
      <c r="H9" s="64">
        <f>E9</f>
        <v>20358.400000000001</v>
      </c>
    </row>
    <row r="10" spans="1:9" x14ac:dyDescent="0.2">
      <c r="A10" s="59"/>
      <c r="B10" s="66"/>
      <c r="C10" s="61"/>
      <c r="D10" s="62"/>
      <c r="E10" s="63">
        <f t="shared" ref="E10:E21" si="0">E9+D10</f>
        <v>20358.400000000001</v>
      </c>
      <c r="F10" s="67"/>
      <c r="G10" s="64">
        <f t="shared" ref="G10:G21" si="1">G9+F10</f>
        <v>0</v>
      </c>
      <c r="H10" s="64">
        <f t="shared" ref="H10:H21" si="2">H9-F10+D10</f>
        <v>20358.400000000001</v>
      </c>
    </row>
    <row r="11" spans="1:9" x14ac:dyDescent="0.2">
      <c r="A11" s="59"/>
      <c r="B11" s="60"/>
      <c r="C11" s="61"/>
      <c r="D11" s="63"/>
      <c r="E11" s="63">
        <f t="shared" si="0"/>
        <v>20358.400000000001</v>
      </c>
      <c r="F11" s="67"/>
      <c r="G11" s="64">
        <f t="shared" si="1"/>
        <v>0</v>
      </c>
      <c r="H11" s="64">
        <f t="shared" si="2"/>
        <v>20358.400000000001</v>
      </c>
    </row>
    <row r="12" spans="1:9" x14ac:dyDescent="0.2">
      <c r="A12" s="59"/>
      <c r="B12" s="60"/>
      <c r="C12" s="61"/>
      <c r="D12" s="63"/>
      <c r="E12" s="63">
        <f t="shared" si="0"/>
        <v>20358.400000000001</v>
      </c>
      <c r="F12" s="67"/>
      <c r="G12" s="64">
        <f t="shared" si="1"/>
        <v>0</v>
      </c>
      <c r="H12" s="64">
        <f t="shared" si="2"/>
        <v>20358.400000000001</v>
      </c>
    </row>
    <row r="13" spans="1:9" x14ac:dyDescent="0.2">
      <c r="A13" s="59"/>
      <c r="B13" s="60"/>
      <c r="C13" s="61"/>
      <c r="D13" s="63"/>
      <c r="E13" s="63">
        <f t="shared" si="0"/>
        <v>20358.400000000001</v>
      </c>
      <c r="F13" s="67"/>
      <c r="G13" s="64">
        <f t="shared" si="1"/>
        <v>0</v>
      </c>
      <c r="H13" s="64">
        <f t="shared" si="2"/>
        <v>20358.400000000001</v>
      </c>
    </row>
    <row r="14" spans="1:9" x14ac:dyDescent="0.2">
      <c r="A14" s="59"/>
      <c r="B14" s="60"/>
      <c r="C14" s="61"/>
      <c r="D14" s="63"/>
      <c r="E14" s="63">
        <f t="shared" si="0"/>
        <v>20358.400000000001</v>
      </c>
      <c r="F14" s="64"/>
      <c r="G14" s="64">
        <f t="shared" si="1"/>
        <v>0</v>
      </c>
      <c r="H14" s="64">
        <f t="shared" si="2"/>
        <v>20358.400000000001</v>
      </c>
    </row>
    <row r="15" spans="1:9" x14ac:dyDescent="0.2">
      <c r="A15" s="59"/>
      <c r="B15" s="60"/>
      <c r="C15" s="61"/>
      <c r="D15" s="63"/>
      <c r="E15" s="63">
        <f t="shared" si="0"/>
        <v>20358.400000000001</v>
      </c>
      <c r="F15" s="67"/>
      <c r="G15" s="64">
        <f t="shared" si="1"/>
        <v>0</v>
      </c>
      <c r="H15" s="64">
        <f t="shared" si="2"/>
        <v>20358.400000000001</v>
      </c>
    </row>
    <row r="16" spans="1:9" x14ac:dyDescent="0.2">
      <c r="A16" s="59"/>
      <c r="B16" s="60"/>
      <c r="C16" s="61"/>
      <c r="D16" s="63"/>
      <c r="E16" s="63">
        <f t="shared" si="0"/>
        <v>20358.400000000001</v>
      </c>
      <c r="F16" s="67"/>
      <c r="G16" s="64">
        <f t="shared" si="1"/>
        <v>0</v>
      </c>
      <c r="H16" s="64">
        <f t="shared" si="2"/>
        <v>20358.400000000001</v>
      </c>
    </row>
    <row r="17" spans="1:9" x14ac:dyDescent="0.2">
      <c r="A17" s="59"/>
      <c r="B17" s="60"/>
      <c r="C17" s="61"/>
      <c r="D17" s="63"/>
      <c r="E17" s="63">
        <f t="shared" si="0"/>
        <v>20358.400000000001</v>
      </c>
      <c r="F17" s="67"/>
      <c r="G17" s="64">
        <f t="shared" si="1"/>
        <v>0</v>
      </c>
      <c r="H17" s="64">
        <f t="shared" si="2"/>
        <v>20358.400000000001</v>
      </c>
    </row>
    <row r="18" spans="1:9" x14ac:dyDescent="0.2">
      <c r="A18" s="59"/>
      <c r="B18" s="60"/>
      <c r="C18" s="61"/>
      <c r="D18" s="63"/>
      <c r="E18" s="63">
        <f t="shared" si="0"/>
        <v>20358.400000000001</v>
      </c>
      <c r="F18" s="67"/>
      <c r="G18" s="64">
        <f t="shared" si="1"/>
        <v>0</v>
      </c>
      <c r="H18" s="64">
        <f t="shared" si="2"/>
        <v>20358.400000000001</v>
      </c>
    </row>
    <row r="19" spans="1:9" x14ac:dyDescent="0.2">
      <c r="A19" s="59"/>
      <c r="B19" s="60"/>
      <c r="C19" s="61"/>
      <c r="D19" s="63"/>
      <c r="E19" s="63">
        <f t="shared" si="0"/>
        <v>20358.400000000001</v>
      </c>
      <c r="F19" s="64"/>
      <c r="G19" s="64">
        <f t="shared" si="1"/>
        <v>0</v>
      </c>
      <c r="H19" s="64">
        <f t="shared" si="2"/>
        <v>20358.400000000001</v>
      </c>
    </row>
    <row r="20" spans="1:9" x14ac:dyDescent="0.2">
      <c r="A20" s="59"/>
      <c r="B20" s="60"/>
      <c r="C20" s="61"/>
      <c r="D20" s="63"/>
      <c r="E20" s="63">
        <f t="shared" si="0"/>
        <v>20358.400000000001</v>
      </c>
      <c r="F20" s="64"/>
      <c r="G20" s="64">
        <f t="shared" si="1"/>
        <v>0</v>
      </c>
      <c r="H20" s="64">
        <f t="shared" si="2"/>
        <v>20358.400000000001</v>
      </c>
    </row>
    <row r="21" spans="1:9" x14ac:dyDescent="0.2">
      <c r="A21" s="59"/>
      <c r="B21" s="60"/>
      <c r="C21" s="68"/>
      <c r="D21" s="63"/>
      <c r="E21" s="63">
        <f t="shared" si="0"/>
        <v>20358.400000000001</v>
      </c>
      <c r="F21" s="64"/>
      <c r="G21" s="64">
        <f t="shared" si="1"/>
        <v>0</v>
      </c>
      <c r="H21" s="64">
        <f t="shared" si="2"/>
        <v>20358.400000000001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20358.400000000001</v>
      </c>
      <c r="E23" s="72"/>
      <c r="F23" s="72">
        <f>SUM(F9:F22)</f>
        <v>0</v>
      </c>
      <c r="G23" s="72"/>
      <c r="H23" s="72">
        <f>D23-F23</f>
        <v>20358.400000000001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204"/>
      <c r="D26" s="205"/>
      <c r="E26" s="205"/>
      <c r="F26" s="205"/>
      <c r="G26" s="205"/>
      <c r="H26" s="205"/>
      <c r="I26" s="206"/>
    </row>
    <row r="27" spans="1:9" x14ac:dyDescent="0.2">
      <c r="A27" s="73"/>
      <c r="B27" s="61"/>
      <c r="C27" s="204"/>
      <c r="D27" s="205"/>
      <c r="E27" s="205"/>
      <c r="F27" s="205"/>
      <c r="G27" s="205"/>
      <c r="H27" s="205"/>
      <c r="I27" s="206"/>
    </row>
    <row r="28" spans="1:9" x14ac:dyDescent="0.2">
      <c r="A28" s="73"/>
      <c r="B28" s="61"/>
      <c r="C28" s="204"/>
      <c r="D28" s="205"/>
      <c r="E28" s="205"/>
      <c r="F28" s="205"/>
      <c r="G28" s="205"/>
      <c r="H28" s="205"/>
      <c r="I28" s="206"/>
    </row>
    <row r="29" spans="1:9" x14ac:dyDescent="0.2">
      <c r="A29" s="73"/>
      <c r="B29" s="61"/>
      <c r="C29" s="204"/>
      <c r="D29" s="205"/>
      <c r="E29" s="205"/>
      <c r="F29" s="205"/>
      <c r="G29" s="205"/>
      <c r="H29" s="205"/>
      <c r="I29" s="206"/>
    </row>
    <row r="30" spans="1:9" x14ac:dyDescent="0.2">
      <c r="A30" s="73"/>
      <c r="B30" s="61"/>
      <c r="C30" s="204"/>
      <c r="D30" s="205"/>
      <c r="E30" s="205"/>
      <c r="F30" s="205"/>
      <c r="G30" s="205"/>
      <c r="H30" s="205"/>
      <c r="I30" s="206"/>
    </row>
    <row r="31" spans="1:9" x14ac:dyDescent="0.2">
      <c r="A31" s="73"/>
      <c r="B31" s="61"/>
      <c r="C31" s="204"/>
      <c r="D31" s="205"/>
      <c r="E31" s="205"/>
      <c r="F31" s="205"/>
      <c r="G31" s="205"/>
      <c r="H31" s="205"/>
      <c r="I31" s="206"/>
    </row>
    <row r="32" spans="1:9" x14ac:dyDescent="0.2">
      <c r="A32" s="73"/>
      <c r="B32" s="61"/>
      <c r="C32" s="204"/>
      <c r="D32" s="207"/>
      <c r="E32" s="205"/>
      <c r="F32" s="207"/>
      <c r="G32" s="205"/>
      <c r="H32" s="207"/>
      <c r="I32" s="206"/>
    </row>
    <row r="33" spans="1:9" x14ac:dyDescent="0.2">
      <c r="A33" s="73"/>
      <c r="B33" s="61"/>
      <c r="C33" s="204"/>
      <c r="D33" s="208"/>
      <c r="E33" s="73"/>
      <c r="F33" s="209"/>
      <c r="G33" s="209"/>
      <c r="H33" s="208"/>
      <c r="I33" s="206"/>
    </row>
    <row r="34" spans="1:9" x14ac:dyDescent="0.2">
      <c r="A34" s="73"/>
      <c r="B34" s="61"/>
      <c r="C34" s="204"/>
      <c r="D34" s="208"/>
      <c r="E34" s="73"/>
      <c r="F34" s="209"/>
      <c r="G34" s="209"/>
      <c r="H34" s="208"/>
      <c r="I34" s="206"/>
    </row>
    <row r="35" spans="1:9" x14ac:dyDescent="0.2">
      <c r="A35" s="73"/>
      <c r="B35" s="61"/>
      <c r="C35" s="69"/>
      <c r="D35" s="45"/>
      <c r="E35" s="74"/>
      <c r="F35" s="75"/>
      <c r="G35" s="75"/>
      <c r="H35" s="45"/>
    </row>
    <row r="36" spans="1:9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</sheetData>
  <conditionalFormatting sqref="I9:I28">
    <cfRule type="cellIs" dxfId="2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28"/>
  <sheetViews>
    <sheetView zoomScaleNormal="100" workbookViewId="0"/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117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118</v>
      </c>
      <c r="B9" s="60">
        <v>45558</v>
      </c>
      <c r="C9" s="61" t="s">
        <v>82</v>
      </c>
      <c r="D9" s="202">
        <v>38889.93</v>
      </c>
      <c r="E9" s="63">
        <f>D9</f>
        <v>38889.93</v>
      </c>
      <c r="F9" s="64"/>
      <c r="G9" s="64"/>
      <c r="H9" s="64">
        <f>E9</f>
        <v>38889.93</v>
      </c>
    </row>
    <row r="10" spans="1:9" x14ac:dyDescent="0.2">
      <c r="A10" s="59"/>
      <c r="B10" s="66"/>
      <c r="C10" s="61"/>
      <c r="D10" s="62"/>
      <c r="E10" s="63">
        <f t="shared" ref="E10:E21" si="0">E9+D10</f>
        <v>38889.93</v>
      </c>
      <c r="F10" s="67"/>
      <c r="G10" s="64">
        <f t="shared" ref="G10:G21" si="1">G9+F10</f>
        <v>0</v>
      </c>
      <c r="H10" s="64">
        <f t="shared" ref="H10:H21" si="2">H9-F10+D10</f>
        <v>38889.93</v>
      </c>
    </row>
    <row r="11" spans="1:9" x14ac:dyDescent="0.2">
      <c r="A11" s="59"/>
      <c r="B11" s="60"/>
      <c r="C11" s="61"/>
      <c r="D11" s="63"/>
      <c r="E11" s="63">
        <f t="shared" si="0"/>
        <v>38889.93</v>
      </c>
      <c r="F11" s="67"/>
      <c r="G11" s="64">
        <f t="shared" si="1"/>
        <v>0</v>
      </c>
      <c r="H11" s="64">
        <f t="shared" si="2"/>
        <v>38889.93</v>
      </c>
    </row>
    <row r="12" spans="1:9" x14ac:dyDescent="0.2">
      <c r="A12" s="59"/>
      <c r="B12" s="60"/>
      <c r="C12" s="61"/>
      <c r="D12" s="63"/>
      <c r="E12" s="63">
        <f t="shared" si="0"/>
        <v>38889.93</v>
      </c>
      <c r="F12" s="67"/>
      <c r="G12" s="64">
        <f t="shared" si="1"/>
        <v>0</v>
      </c>
      <c r="H12" s="64">
        <f t="shared" si="2"/>
        <v>38889.93</v>
      </c>
    </row>
    <row r="13" spans="1:9" x14ac:dyDescent="0.2">
      <c r="A13" s="59"/>
      <c r="B13" s="60"/>
      <c r="C13" s="61"/>
      <c r="D13" s="63"/>
      <c r="E13" s="63">
        <f t="shared" si="0"/>
        <v>38889.93</v>
      </c>
      <c r="F13" s="67"/>
      <c r="G13" s="64">
        <f t="shared" si="1"/>
        <v>0</v>
      </c>
      <c r="H13" s="64">
        <f t="shared" si="2"/>
        <v>38889.93</v>
      </c>
    </row>
    <row r="14" spans="1:9" x14ac:dyDescent="0.2">
      <c r="A14" s="59"/>
      <c r="B14" s="60"/>
      <c r="C14" s="61"/>
      <c r="D14" s="63"/>
      <c r="E14" s="63">
        <f t="shared" si="0"/>
        <v>38889.93</v>
      </c>
      <c r="F14" s="64"/>
      <c r="G14" s="64">
        <f t="shared" si="1"/>
        <v>0</v>
      </c>
      <c r="H14" s="64">
        <f t="shared" si="2"/>
        <v>38889.93</v>
      </c>
    </row>
    <row r="15" spans="1:9" x14ac:dyDescent="0.2">
      <c r="A15" s="59"/>
      <c r="B15" s="60"/>
      <c r="C15" s="61"/>
      <c r="D15" s="63"/>
      <c r="E15" s="63">
        <f t="shared" si="0"/>
        <v>38889.93</v>
      </c>
      <c r="F15" s="67"/>
      <c r="G15" s="64">
        <f t="shared" si="1"/>
        <v>0</v>
      </c>
      <c r="H15" s="64">
        <f t="shared" si="2"/>
        <v>38889.93</v>
      </c>
    </row>
    <row r="16" spans="1:9" x14ac:dyDescent="0.2">
      <c r="A16" s="59"/>
      <c r="B16" s="60"/>
      <c r="C16" s="61"/>
      <c r="D16" s="63"/>
      <c r="E16" s="63">
        <f t="shared" si="0"/>
        <v>38889.93</v>
      </c>
      <c r="F16" s="67"/>
      <c r="G16" s="64">
        <f t="shared" si="1"/>
        <v>0</v>
      </c>
      <c r="H16" s="64">
        <f t="shared" si="2"/>
        <v>38889.93</v>
      </c>
    </row>
    <row r="17" spans="1:9" x14ac:dyDescent="0.2">
      <c r="A17" s="59"/>
      <c r="B17" s="60"/>
      <c r="C17" s="61"/>
      <c r="D17" s="63"/>
      <c r="E17" s="63">
        <f t="shared" si="0"/>
        <v>38889.93</v>
      </c>
      <c r="F17" s="67"/>
      <c r="G17" s="64">
        <f t="shared" si="1"/>
        <v>0</v>
      </c>
      <c r="H17" s="64">
        <f t="shared" si="2"/>
        <v>38889.93</v>
      </c>
    </row>
    <row r="18" spans="1:9" x14ac:dyDescent="0.2">
      <c r="A18" s="59"/>
      <c r="B18" s="60"/>
      <c r="C18" s="61"/>
      <c r="D18" s="63"/>
      <c r="E18" s="63">
        <f t="shared" si="0"/>
        <v>38889.93</v>
      </c>
      <c r="F18" s="67"/>
      <c r="G18" s="64">
        <f t="shared" si="1"/>
        <v>0</v>
      </c>
      <c r="H18" s="64">
        <f t="shared" si="2"/>
        <v>38889.93</v>
      </c>
    </row>
    <row r="19" spans="1:9" x14ac:dyDescent="0.2">
      <c r="A19" s="59"/>
      <c r="B19" s="60"/>
      <c r="C19" s="61"/>
      <c r="D19" s="63"/>
      <c r="E19" s="63">
        <f t="shared" si="0"/>
        <v>38889.93</v>
      </c>
      <c r="F19" s="64"/>
      <c r="G19" s="64">
        <f t="shared" si="1"/>
        <v>0</v>
      </c>
      <c r="H19" s="64">
        <f t="shared" si="2"/>
        <v>38889.93</v>
      </c>
    </row>
    <row r="20" spans="1:9" x14ac:dyDescent="0.2">
      <c r="A20" s="59"/>
      <c r="B20" s="60"/>
      <c r="C20" s="61"/>
      <c r="D20" s="63"/>
      <c r="E20" s="63">
        <f t="shared" si="0"/>
        <v>38889.93</v>
      </c>
      <c r="F20" s="64"/>
      <c r="G20" s="64">
        <f t="shared" si="1"/>
        <v>0</v>
      </c>
      <c r="H20" s="64">
        <f t="shared" si="2"/>
        <v>38889.93</v>
      </c>
    </row>
    <row r="21" spans="1:9" x14ac:dyDescent="0.2">
      <c r="A21" s="59"/>
      <c r="B21" s="60"/>
      <c r="C21" s="68"/>
      <c r="D21" s="63"/>
      <c r="E21" s="63">
        <f t="shared" si="0"/>
        <v>38889.93</v>
      </c>
      <c r="F21" s="64"/>
      <c r="G21" s="64">
        <f t="shared" si="1"/>
        <v>0</v>
      </c>
      <c r="H21" s="64">
        <f t="shared" si="2"/>
        <v>38889.93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38889.93</v>
      </c>
      <c r="E23" s="72"/>
      <c r="F23" s="72">
        <f>SUM(F9:F22)</f>
        <v>0</v>
      </c>
      <c r="G23" s="72"/>
      <c r="H23" s="72">
        <f>D23-F23</f>
        <v>38889.93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204"/>
      <c r="D26" s="205"/>
      <c r="E26" s="205"/>
      <c r="F26" s="205"/>
      <c r="G26" s="205"/>
      <c r="H26" s="205"/>
      <c r="I26" s="206"/>
    </row>
    <row r="27" spans="1:9" x14ac:dyDescent="0.2">
      <c r="A27" s="73"/>
      <c r="B27" s="61"/>
      <c r="C27" s="204"/>
      <c r="D27" s="205"/>
      <c r="E27" s="205"/>
      <c r="F27" s="205"/>
      <c r="G27" s="205"/>
      <c r="H27" s="205"/>
      <c r="I27" s="206"/>
    </row>
    <row r="28" spans="1:9" x14ac:dyDescent="0.2">
      <c r="A28" s="73"/>
      <c r="B28" s="61"/>
      <c r="C28" s="204"/>
      <c r="D28" s="205"/>
      <c r="E28" s="205"/>
      <c r="F28" s="205"/>
      <c r="G28" s="205"/>
      <c r="H28" s="205"/>
      <c r="I28" s="206"/>
    </row>
    <row r="29" spans="1:9" x14ac:dyDescent="0.2">
      <c r="A29" s="73"/>
      <c r="B29" s="61"/>
      <c r="C29" s="204"/>
      <c r="D29" s="205"/>
      <c r="E29" s="205"/>
      <c r="F29" s="205"/>
      <c r="G29" s="205"/>
      <c r="H29" s="205"/>
      <c r="I29" s="206"/>
    </row>
    <row r="30" spans="1:9" x14ac:dyDescent="0.2">
      <c r="A30" s="73"/>
      <c r="B30" s="61"/>
      <c r="C30" s="204"/>
      <c r="D30" s="205"/>
      <c r="E30" s="205"/>
      <c r="F30" s="205"/>
      <c r="G30" s="205"/>
      <c r="H30" s="205"/>
      <c r="I30" s="206"/>
    </row>
    <row r="31" spans="1:9" x14ac:dyDescent="0.2">
      <c r="A31" s="73"/>
      <c r="B31" s="61"/>
      <c r="C31" s="204"/>
      <c r="D31" s="205"/>
      <c r="E31" s="205"/>
      <c r="F31" s="205"/>
      <c r="G31" s="205"/>
      <c r="H31" s="205"/>
      <c r="I31" s="206"/>
    </row>
    <row r="32" spans="1:9" x14ac:dyDescent="0.2">
      <c r="A32" s="73"/>
      <c r="B32" s="61"/>
      <c r="C32" s="204"/>
      <c r="D32" s="207"/>
      <c r="E32" s="205"/>
      <c r="F32" s="207"/>
      <c r="G32" s="205"/>
      <c r="H32" s="207"/>
      <c r="I32" s="206"/>
    </row>
    <row r="33" spans="1:9" x14ac:dyDescent="0.2">
      <c r="A33" s="73"/>
      <c r="B33" s="61"/>
      <c r="C33" s="204"/>
      <c r="D33" s="208"/>
      <c r="E33" s="73"/>
      <c r="F33" s="209"/>
      <c r="G33" s="209"/>
      <c r="H33" s="208"/>
      <c r="I33" s="206"/>
    </row>
    <row r="34" spans="1:9" x14ac:dyDescent="0.2">
      <c r="A34" s="73"/>
      <c r="B34" s="61"/>
      <c r="C34" s="204"/>
      <c r="D34" s="208"/>
      <c r="E34" s="73"/>
      <c r="F34" s="209"/>
      <c r="G34" s="209"/>
      <c r="H34" s="208"/>
      <c r="I34" s="206"/>
    </row>
    <row r="35" spans="1:9" x14ac:dyDescent="0.2">
      <c r="A35" s="73"/>
      <c r="B35" s="61"/>
      <c r="C35" s="69"/>
      <c r="D35" s="45"/>
      <c r="E35" s="74"/>
      <c r="F35" s="75"/>
      <c r="G35" s="75"/>
      <c r="H35" s="45"/>
    </row>
    <row r="36" spans="1:9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</sheetData>
  <conditionalFormatting sqref="I9:I28">
    <cfRule type="cellIs" dxfId="1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Kleene, Jennifer [DAS]</cp:lastModifiedBy>
  <cp:lastPrinted>2024-12-02T15:23:03Z</cp:lastPrinted>
  <dcterms:created xsi:type="dcterms:W3CDTF">2015-06-05T18:17:20Z</dcterms:created>
  <dcterms:modified xsi:type="dcterms:W3CDTF">2024-12-12T00:00:23Z</dcterms:modified>
</cp:coreProperties>
</file>