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A67BE641-8A80-4978-AAC2-7BB2E8969AAF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#9420.00 MTS Contracting (3)" sheetId="19" r:id="rId13"/>
    <sheet name="RECAP #XXXX.XX" sheetId="2" r:id="rId14"/>
    <sheet name="#XXXX.XX Vendor A" sheetId="3" r:id="rId15"/>
    <sheet name="#XXXX.XX PM TIME" sheetId="4" r:id="rId16"/>
    <sheet name="#XXXX.XX Misc" sheetId="5" r:id="rId17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D29" i="13" l="1"/>
  <c r="D30" i="13"/>
  <c r="D32" i="13"/>
  <c r="D34" i="13"/>
  <c r="D35" i="13"/>
  <c r="F28" i="13"/>
  <c r="D33" i="13"/>
  <c r="D36" i="13"/>
  <c r="D38" i="13"/>
  <c r="I21" i="13"/>
  <c r="D27" i="19"/>
  <c r="F27" i="19"/>
  <c r="I34" i="10" l="1"/>
  <c r="H34" i="10"/>
  <c r="F34" i="10"/>
  <c r="F35" i="10" s="1"/>
  <c r="F36" i="10" s="1"/>
  <c r="H35" i="10" l="1"/>
  <c r="H36" i="10" s="1"/>
  <c r="I35" i="10"/>
  <c r="I36" i="10" s="1"/>
  <c r="E21" i="13"/>
  <c r="E22" i="13" s="1"/>
  <c r="E23" i="13" s="1"/>
  <c r="I20" i="13" l="1"/>
  <c r="F26" i="19" l="1"/>
  <c r="D26" i="19"/>
  <c r="I10" i="19" l="1"/>
  <c r="G33" i="10" l="1"/>
  <c r="G32" i="10"/>
  <c r="F31" i="16" l="1"/>
  <c r="F26" i="16"/>
  <c r="F28" i="16"/>
  <c r="F28" i="17" l="1"/>
  <c r="G31" i="10" l="1"/>
  <c r="G30" i="10"/>
  <c r="G28" i="10" l="1"/>
  <c r="G29" i="10"/>
  <c r="D28" i="19" l="1"/>
  <c r="H27" i="19"/>
  <c r="H26" i="19"/>
  <c r="F23" i="19"/>
  <c r="E19" i="8" s="1"/>
  <c r="D23" i="19"/>
  <c r="D19" i="8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9" i="19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A6" i="19"/>
  <c r="D3" i="19"/>
  <c r="A3" i="19"/>
  <c r="A2" i="19"/>
  <c r="A1" i="19"/>
  <c r="F29" i="16"/>
  <c r="H28" i="19" l="1"/>
  <c r="H23" i="19"/>
  <c r="F19" i="8" s="1"/>
  <c r="F28" i="19"/>
  <c r="H9" i="19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E15" i="6"/>
  <c r="E9" i="10" l="1"/>
  <c r="G27" i="10" l="1"/>
  <c r="G26" i="10"/>
  <c r="F26" i="17" l="1"/>
  <c r="G25" i="10" l="1"/>
  <c r="G24" i="10"/>
  <c r="A1" i="11" l="1"/>
  <c r="G22" i="10" l="1"/>
  <c r="G23" i="10"/>
  <c r="F39" i="13" l="1"/>
  <c r="I19" i="13" l="1"/>
  <c r="D39" i="13" l="1"/>
  <c r="H38" i="13"/>
  <c r="H37" i="13"/>
  <c r="D30" i="9" l="1"/>
  <c r="D28" i="9"/>
  <c r="D27" i="9"/>
  <c r="D26" i="9"/>
  <c r="F30" i="9"/>
  <c r="F29" i="9"/>
  <c r="F28" i="9"/>
  <c r="F27" i="9"/>
  <c r="F26" i="9"/>
  <c r="H29" i="17" l="1"/>
  <c r="H30" i="17"/>
  <c r="H31" i="17"/>
  <c r="D32" i="17"/>
  <c r="F32" i="17"/>
  <c r="H28" i="17"/>
  <c r="H27" i="17"/>
  <c r="H26" i="17"/>
  <c r="F23" i="17"/>
  <c r="E18" i="8" s="1"/>
  <c r="D23" i="17"/>
  <c r="D18" i="8" s="1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32" i="17" l="1"/>
  <c r="H23" i="17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I17" i="13" l="1"/>
  <c r="D17" i="8" l="1"/>
  <c r="D35" i="16"/>
  <c r="F33" i="16"/>
  <c r="D33" i="16"/>
  <c r="H32" i="16"/>
  <c r="H31" i="16"/>
  <c r="H28" i="16"/>
  <c r="D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I12" i="15"/>
  <c r="I14" i="9" l="1"/>
  <c r="H31" i="13" l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6" i="13"/>
  <c r="H32" i="13"/>
  <c r="H30" i="12"/>
  <c r="H29" i="12"/>
  <c r="H28" i="12"/>
  <c r="F27" i="12"/>
  <c r="H27" i="12" s="1"/>
  <c r="G17" i="10"/>
  <c r="G16" i="10"/>
  <c r="H35" i="13"/>
  <c r="I10" i="9"/>
  <c r="I11" i="9" s="1"/>
  <c r="I12" i="9" s="1"/>
  <c r="I13" i="9" s="1"/>
  <c r="H34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3" i="13"/>
  <c r="H30" i="13"/>
  <c r="H29" i="13"/>
  <c r="H28" i="13"/>
  <c r="F25" i="13"/>
  <c r="E14" i="8" s="1"/>
  <c r="D25" i="13"/>
  <c r="D14" i="8" s="1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A6" i="13"/>
  <c r="D3" i="13"/>
  <c r="A3" i="13"/>
  <c r="A2" i="13"/>
  <c r="A1" i="13"/>
  <c r="G11" i="10"/>
  <c r="G10" i="10"/>
  <c r="G38" i="10" s="1"/>
  <c r="E40" i="6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38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F9" i="10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1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H39" i="13" l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E12" i="8"/>
  <c r="F12" i="8" s="1"/>
  <c r="H25" i="13"/>
  <c r="F14" i="8" s="1"/>
  <c r="H23" i="15"/>
  <c r="F16" i="8" s="1"/>
  <c r="H23" i="9"/>
  <c r="F10" i="8" s="1"/>
  <c r="F14" i="2"/>
  <c r="G14" i="2"/>
  <c r="E11" i="8"/>
  <c r="I38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1" i="8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G21" i="8" l="1"/>
  <c r="K15" i="6" s="1"/>
  <c r="K40" i="6" s="1"/>
  <c r="K43" i="6" s="1"/>
  <c r="F21" i="8"/>
  <c r="E21" i="8"/>
  <c r="I15" i="6" s="1"/>
  <c r="I40" i="6" s="1"/>
  <c r="H15" i="6"/>
  <c r="H40" i="6" s="1"/>
  <c r="J45" i="6" s="1"/>
  <c r="K45" i="6" s="1"/>
  <c r="K46" i="6" l="1"/>
  <c r="J15" i="6"/>
  <c r="J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
9420.00 - DAS CC Capitol West Stairs &amp; Surrounding Landings Repairs
$Joni
Trower, James
Tue, Apr 8, 2:41 PM (16 hours ago)
to me
Finance -
Increase project budget for 9420.00 Capitol Stairs funding by $500,000. There should be a total of $2,000,000.00 in Capitol Stairs funding.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<sst xmlns="http://schemas.openxmlformats.org/spreadsheetml/2006/main" count="519" uniqueCount="258">
  <si>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</si>
  <si>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</si>
  <si>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</si>
  <si>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</si>
  <si>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</si>
  <si>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</si>
  <si>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</si>
  <si>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</si>
  <si>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</si>
  <si>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</si>
  <si>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</si>
  <si>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</si>
  <si>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</si>
  <si>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</si>
  <si>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</si>
  <si>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</si>
  <si>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</si>
  <si>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</si>
  <si>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</si>
  <si>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</si>
  <si>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</si>
  <si>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</si>
  <si>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</si>
  <si>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</si>
  <si>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</si>
  <si>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</si>
  <si>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</si>
  <si>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</si>
  <si>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</si>
  <si>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</si>
  <si>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</si>
  <si>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</si>
  <si>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</si>
  <si>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</si>
  <si>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</si>
  <si>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</si>
  <si>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</si>
  <si>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</si>
  <si>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</si>
  <si>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</si>
  <si>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</si>
  <si>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</si>
  <si>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</si>
  <si>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</si>
  <si>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</si>
  <si>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</si>
  <si>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</si>
  <si>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</si>
  <si>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</si>
  <si>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</si>
  <si>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</si>
  <si>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</si>
  <si>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</si>
  <si>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</si>
  <si>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</si>
  <si>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</si>
  <si>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</si>
  <si>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</si>
  <si>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</si>
  <si>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</si>
  <si>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</si>
  <si>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</si>
  <si>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</si>
  <si>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</si>
  <si>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</si>
  <si>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</si>
  <si>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</si>
  <si>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</si>
  <si>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</si>
  <si>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</si>
  <si>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</si>
  <si>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</si>
  <si>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</si>
  <si>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</si>
  <si>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</si>
  <si>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</si>
  <si>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</si>
  <si>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</si>
  <si>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</si>
  <si>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</si>
  <si>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</si>
  <si>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</si>
  <si>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</si>
  <si>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</si>
  <si>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</si>
  <si>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</si>
  <si>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</si>
  <si>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</si>
  <si>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</si>
  <si>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</si>
  <si>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</si>
  <si>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</si>
  <si>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</si>
  <si>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</si>
  <si>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</si>
  <si>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</si>
  <si>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</si>
  <si>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</si>
  <si>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</si>
  <si>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</si>
  <si>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</si>
  <si>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</si>
  <si>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</si>
  <si>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</si>
  <si>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</si>
  <si>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</si>
  <si>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</si>
  <si>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</si>
  <si>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</si>
  <si>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</si>
  <si>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</si>
  <si>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</si>
  <si>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</si>
  <si>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</si>
  <si>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</si>
  <si>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</si>
  <si>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</si>
  <si>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</si>
  <si>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</si>
  <si>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</si>
  <si>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</si>
  <si>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</si>
  <si>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</si>
  <si>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</si>
  <si>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</si>
  <si>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</si>
  <si>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</si>
  <si>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</si>
  <si>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</si>
  <si>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</si>
  <si>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</si>
  <si>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</si>
  <si>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</si>
  <si>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</si>
  <si>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</si>
  <si>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</si>
  <si>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</si>
  <si>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</si>
  <si>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</si>
  <si>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</si>
  <si>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</si>
  <si>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</si>
  <si>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</si>
  <si>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</si>
  <si>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</si>
  <si>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</si>
  <si>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</si>
  <si>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</si>
  <si>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</si>
  <si>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</si>
  <si>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</si>
  <si>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</si>
  <si>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</si>
  <si>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</si>
  <si>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</si>
  <si>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</si>
  <si>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</si>
  <si>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</si>
  <si>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</si>
  <si>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</si>
  <si>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</si>
  <si>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</si>
  <si>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</si>
  <si>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</si>
  <si>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</si>
  <si>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</si>
  <si>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</si>
  <si>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</si>
  <si>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</si>
  <si>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</si>
  <si>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</si>
  <si>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</si>
  <si>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</si>
  <si>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</si>
  <si>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</si>
  <si>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</si>
  <si>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</si>
  <si>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</si>
  <si>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</si>
  <si>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</si>
  <si>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</si>
  <si>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</si>
  <si>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</si>
  <si>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</si>
  <si>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</si>
  <si>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</si>
  <si>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</si>
  <si>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</si>
  <si>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</si>
  <si>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</si>
  <si>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</si>
  <si>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</si>
  <si>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</si>
  <si>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</si>
  <si>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</si>
  <si>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</si>
  <si>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</si>
  <si>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</si>
  <si>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</si>
  <si>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</si>
  <si>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</si>
  <si>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</si>
  <si>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</si>
  <si>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</si>
  <si>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</si>
  <si>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</si>
  <si>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</si>
  <si>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</si>
  <si>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</si>
  <si>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</si>
  <si>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</si>
  <si>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</si>
  <si>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</si>
  <si>
    <t>IET DAS202509115300001</t>
  </si>
  <si>
    <t>Finance Support for March 01-31, 2025</t>
  </si>
  <si>
    <t>DAS Support for March 01-31, 2025</t>
  </si>
  <si>
    <t>Heating/Ventilation/Air Condidioning/Plumbing</t>
  </si>
  <si>
    <t>Inv. DAS2025091153</t>
  </si>
  <si>
    <t>PRC 3352500PC3910</t>
  </si>
  <si>
    <t>Inv. 7747.03942000</t>
  </si>
  <si>
    <t>PRC 3352500PD3910</t>
  </si>
  <si>
    <t>Inv. 7747.04942000</t>
  </si>
  <si>
    <t>MTS Contracting (3)</t>
  </si>
  <si>
    <t>PO 33525128900</t>
  </si>
  <si>
    <t>Mason</t>
  </si>
  <si>
    <t>Total:</t>
  </si>
  <si>
    <t>Grand Total:</t>
  </si>
  <si>
    <t>Shipping Code 035</t>
  </si>
  <si>
    <t>IET DAS202510115300001</t>
  </si>
  <si>
    <t>Finance Support for April 01-30, 2025</t>
  </si>
  <si>
    <t>DAS Support for April 01-30, 2025</t>
  </si>
  <si>
    <t>IET DAS202511115300001</t>
  </si>
  <si>
    <t>Finance Support for May 01-31, 2025</t>
  </si>
  <si>
    <t>DAS Support for May 01-31, 2025</t>
  </si>
  <si>
    <t>PRC 3352501PB6902</t>
  </si>
  <si>
    <t>Inv. 19802019-2</t>
  </si>
  <si>
    <t>PRC 3352500PE3910</t>
  </si>
  <si>
    <t>Inv. 7747.05942000</t>
  </si>
  <si>
    <t>PRC 3352500PF3910</t>
  </si>
  <si>
    <t>Inv. 7747.06942000</t>
  </si>
  <si>
    <t>IET DAS202512115300001</t>
  </si>
  <si>
    <t>Finance Support for June 01-30, 2025</t>
  </si>
  <si>
    <t>DAS Support for June 01-30, 2025</t>
  </si>
  <si>
    <t>PRC 3352512PA8900</t>
  </si>
  <si>
    <t>Inv. 25-5962F-FINAL</t>
  </si>
  <si>
    <t>PRC 3352522PE2900</t>
  </si>
  <si>
    <t>PRC 3352522PF2900</t>
  </si>
  <si>
    <t>Inv. 57052</t>
  </si>
  <si>
    <t>Inv. 57014-FINAL*</t>
  </si>
  <si>
    <t>PRC 3352512PB8900</t>
  </si>
  <si>
    <t>Inv. 25-5962-Retainage</t>
  </si>
  <si>
    <t>PRC 3352522PG2900</t>
  </si>
  <si>
    <t>Inv. 57094 Retainage</t>
  </si>
  <si>
    <t>Roll to FY26</t>
  </si>
  <si>
    <t>FY25</t>
  </si>
  <si>
    <t>PO 33526003910</t>
  </si>
  <si>
    <t>PO 33526016902</t>
  </si>
  <si>
    <t>FY25 Closed/FY26 in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</si>
</sst>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4" fontId="16" fillId="0" borderId="0" xfId="4" applyNumberFormat="1" applyFont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0" fontId="36" fillId="0" borderId="0" xfId="0" applyFont="1"/>
    <xf numFmtId="40" fontId="5" fillId="0" borderId="0" xfId="4" applyNumberFormat="1" applyFont="1" applyAlignment="1">
      <alignment horizontal="left"/>
    </xf>
    <xf numFmtId="0" fontId="0" fillId="7" borderId="0" xfId="0" applyFill="1"/>
    <xf numFmtId="0" fontId="37" fillId="7" borderId="0" xfId="0" applyFont="1" applyFill="1" applyBorder="1" applyAlignment="1"/>
    <xf numFmtId="0" fontId="38" fillId="7" borderId="0" xfId="0" applyFont="1" applyFill="1"/>
    <xf numFmtId="4" fontId="2" fillId="0" borderId="0" xfId="4" applyNumberFormat="1" applyFont="1" applyFill="1" applyAlignment="1">
      <alignment horizontal="right"/>
    </xf>
    <xf numFmtId="49" fontId="20" fillId="0" borderId="0" xfId="4" applyNumberFormat="1" applyFont="1" applyBorder="1"/>
    <xf numFmtId="164" fontId="5" fillId="0" borderId="0" xfId="4" applyNumberFormat="1" applyFont="1" applyBorder="1" applyAlignment="1">
      <alignment horizontal="center"/>
    </xf>
    <xf numFmtId="164" fontId="5" fillId="0" borderId="0" xfId="4" applyNumberFormat="1" applyFont="1" applyBorder="1" applyAlignment="1">
      <alignment horizontal="left"/>
    </xf>
    <xf numFmtId="4" fontId="5" fillId="0" borderId="0" xfId="4" applyNumberFormat="1" applyFont="1" applyBorder="1" applyAlignment="1">
      <alignment horizontal="center"/>
    </xf>
    <xf numFmtId="4" fontId="16" fillId="0" borderId="0" xfId="4" applyNumberFormat="1" applyFont="1" applyBorder="1" applyAlignment="1">
      <alignment horizontal="right"/>
    </xf>
    <xf numFmtId="4" fontId="33" fillId="0" borderId="0" xfId="4" applyNumberFormat="1" applyFont="1" applyBorder="1" applyAlignment="1">
      <alignment horizontal="center"/>
    </xf>
    <xf numFmtId="4" fontId="33" fillId="0" borderId="0" xfId="4" applyNumberFormat="1" applyFont="1" applyBorder="1" applyAlignment="1">
      <alignment horizontal="right"/>
    </xf>
    <xf numFmtId="0" fontId="19" fillId="0" borderId="0" xfId="4" applyFont="1" applyBorder="1"/>
    <xf numFmtId="4" fontId="20" fillId="0" borderId="0" xfId="4" applyNumberFormat="1" applyFont="1" applyBorder="1" applyAlignment="1">
      <alignment horizontal="right"/>
    </xf>
    <xf numFmtId="40" fontId="22" fillId="0" borderId="0" xfId="4" applyNumberFormat="1" applyFont="1" applyAlignment="1">
      <alignment horizontal="center"/>
    </xf>
    <xf numFmtId="44" fontId="20" fillId="0" borderId="0" xfId="2" applyFont="1" applyBorder="1"/>
    <xf numFmtId="164" fontId="20" fillId="0" borderId="0" xfId="4" applyNumberFormat="1" applyFont="1" applyBorder="1"/>
    <xf numFmtId="164" fontId="20" fillId="0" borderId="0" xfId="4" applyNumberFormat="1" applyFont="1" applyAlignment="1">
      <alignment horizontal="left"/>
    </xf>
    <xf numFmtId="49" fontId="5" fillId="0" borderId="3" xfId="4" applyNumberFormat="1" applyFont="1" applyBorder="1" applyAlignment="1"/>
    <xf numFmtId="164" fontId="5" fillId="0" borderId="3" xfId="4" applyNumberFormat="1" applyFont="1" applyBorder="1" applyAlignment="1">
      <alignment horizontal="center"/>
    </xf>
    <xf numFmtId="164" fontId="5" fillId="0" borderId="3" xfId="4" applyNumberFormat="1" applyFont="1" applyBorder="1" applyAlignment="1">
      <alignment horizontal="left"/>
    </xf>
    <xf numFmtId="4" fontId="5" fillId="0" borderId="3" xfId="4" applyNumberFormat="1" applyFont="1" applyBorder="1" applyAlignment="1">
      <alignment horizontal="center"/>
    </xf>
    <xf numFmtId="4" fontId="33" fillId="0" borderId="3" xfId="4" applyNumberFormat="1" applyFont="1" applyBorder="1" applyAlignment="1">
      <alignment horizontal="right"/>
    </xf>
    <xf numFmtId="4" fontId="5" fillId="0" borderId="3" xfId="4" applyNumberFormat="1" applyFont="1" applyBorder="1"/>
    <xf numFmtId="4" fontId="16" fillId="0" borderId="3" xfId="4" applyNumberFormat="1" applyFont="1" applyBorder="1" applyAlignment="1">
      <alignment horizontal="right"/>
    </xf>
    <xf numFmtId="49" fontId="20" fillId="0" borderId="0" xfId="4" applyNumberFormat="1" applyFont="1" applyBorder="1" applyAlignment="1"/>
    <xf numFmtId="49" fontId="5" fillId="0" borderId="13" xfId="4" applyNumberFormat="1" applyFont="1" applyBorder="1" applyAlignment="1"/>
    <xf numFmtId="164" fontId="5" fillId="0" borderId="13" xfId="4" applyNumberFormat="1" applyFont="1" applyBorder="1" applyAlignment="1">
      <alignment horizontal="center"/>
    </xf>
    <xf numFmtId="164" fontId="5" fillId="0" borderId="13" xfId="4" applyNumberFormat="1" applyFont="1" applyBorder="1" applyAlignment="1">
      <alignment horizontal="left"/>
    </xf>
    <xf numFmtId="4" fontId="33" fillId="0" borderId="13" xfId="4" applyNumberFormat="1" applyFont="1" applyBorder="1" applyAlignment="1">
      <alignment horizontal="center"/>
    </xf>
    <xf numFmtId="4" fontId="5" fillId="0" borderId="13" xfId="4" applyNumberFormat="1" applyFont="1" applyBorder="1" applyAlignment="1">
      <alignment horizontal="center"/>
    </xf>
    <xf numFmtId="4" fontId="33" fillId="0" borderId="13" xfId="4" applyNumberFormat="1" applyFont="1" applyBorder="1" applyAlignment="1">
      <alignment horizontal="right"/>
    </xf>
    <xf numFmtId="4" fontId="5" fillId="0" borderId="13" xfId="4" applyNumberFormat="1" applyFont="1" applyBorder="1"/>
    <xf numFmtId="4" fontId="16" fillId="0" borderId="13" xfId="4" applyNumberFormat="1" applyFont="1" applyBorder="1" applyAlignment="1">
      <alignment horizontal="right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131445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95250</xdr:colOff>
      <xdr:row>69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18</xdr:col>
      <xdr:colOff>283844</xdr:colOff>
      <xdr:row>80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2FA1A-F6A9-49DF-836A-9490BA45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11249024" cy="2028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13</xdr:col>
      <xdr:colOff>245744</xdr:colOff>
      <xdr:row>122</xdr:row>
      <xdr:rowOff>164238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F945A-E74A-4BAD-8778-F3A4F7BD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020925"/>
          <a:ext cx="8162924" cy="7216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"/>
  <sheetViews>
    <sheetView topLeftCell="A97" workbookViewId="0">
      <selection activeCell="K1" sqref="K1"/>
    </sheetView>
  </sheetViews>
  <sheetFormatPr defaultRowHeight="15" x14ac:dyDescent="0.25"/>
  <sheetData>
    <row r="1" spans="1:8" ht="23.25" x14ac:dyDescent="0.35">
      <c r="A1" s="274" t="s">
        <v>175</v>
      </c>
      <c r="B1" s="275"/>
      <c r="C1" s="275"/>
      <c r="D1" s="275"/>
      <c r="E1" s="275"/>
      <c r="F1" s="275"/>
      <c r="G1" s="273"/>
      <c r="H1" s="27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>
      <selection activeCell="C48" sqref="C48"/>
    </sheetView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2000000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800000+700000+500000</f>
        <v>2000000</v>
      </c>
      <c r="F15" s="134"/>
      <c r="G15" s="142">
        <f t="shared" ref="G15:G37" si="0">E15+F15</f>
        <v>2000000</v>
      </c>
      <c r="H15" s="134">
        <f>'RECAP #9420.00'!D21</f>
        <v>1095225.02</v>
      </c>
      <c r="I15" s="134">
        <f>'RECAP #9420.00'!E21</f>
        <v>1030738.88</v>
      </c>
      <c r="J15" s="134">
        <f>'RECAP #9420.00'!F21</f>
        <v>64486.140000000014</v>
      </c>
      <c r="K15" s="134">
        <f>'RECAP #9420.00'!G21</f>
        <v>904774.98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2000000</v>
      </c>
      <c r="F40" s="161">
        <f t="shared" ref="F40:K40" si="1">SUM(F13:F39)</f>
        <v>0</v>
      </c>
      <c r="G40" s="161">
        <f t="shared" si="1"/>
        <v>2000000</v>
      </c>
      <c r="H40" s="161">
        <f t="shared" si="1"/>
        <v>1095225.02</v>
      </c>
      <c r="I40" s="161">
        <f t="shared" si="1"/>
        <v>1030738.88</v>
      </c>
      <c r="J40" s="161">
        <f t="shared" si="1"/>
        <v>64486.140000000014</v>
      </c>
      <c r="K40" s="161">
        <f t="shared" si="1"/>
        <v>904774.98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904774.98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-1095225.02</v>
      </c>
      <c r="K45" s="175">
        <f>SUM(J44:J45)</f>
        <v>904774.98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59" orientation="landscape" r:id="rId1"/>
  <headerFooter alignWithMargins="0">
    <oddHeader xml:space="preserve">&amp;CDepartment of Administrative Services
Major Maintenance 
0001
&amp;A
&amp;D
</oddHeader>
    <oddFooter>&amp;LAcct Codes 0017-335-0001
Reversion 6/30/2026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4" zoomScaleNormal="100" workbookViewId="0">
      <selection activeCell="F26" sqref="F2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0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TIME'!E38</f>
        <v>30000</v>
      </c>
      <c r="E11" s="24">
        <f>'#9420.00 PM TIME'!G38</f>
        <v>25923.57</v>
      </c>
      <c r="F11" s="24">
        <f>'#9420.00 PM TIME'!I38</f>
        <v>4076.4300000000003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3545.51</v>
      </c>
      <c r="E12" s="28">
        <f>'#9420.00 Misc'!G22</f>
        <v>3545.51</v>
      </c>
      <c r="F12" s="24">
        <f>D12-E12</f>
        <v>0</v>
      </c>
      <c r="G12" s="25"/>
      <c r="H12" s="17"/>
    </row>
    <row r="13" spans="1:8" x14ac:dyDescent="0.2">
      <c r="A13" s="210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A14" s="210" t="s">
        <v>148</v>
      </c>
      <c r="B14" s="5" t="s">
        <v>103</v>
      </c>
      <c r="C14" s="27"/>
      <c r="D14" s="28">
        <f>'#9420.00 Neumann Brothers (2)'!D25</f>
        <v>557662.78</v>
      </c>
      <c r="E14" s="28">
        <f>'#9420.00 Neumann Brothers (2)'!F25</f>
        <v>557662.78</v>
      </c>
      <c r="F14" s="24">
        <f>'#9420.00 Neumann Brothers (2)'!H25</f>
        <v>0</v>
      </c>
      <c r="G14" s="25"/>
      <c r="H14" s="17"/>
    </row>
    <row r="15" spans="1:8" x14ac:dyDescent="0.2">
      <c r="A15" s="210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0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0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39540.949999999997</v>
      </c>
      <c r="F17" s="24">
        <f>'#9420.00 Samuels Group (2)'!H23</f>
        <v>25676.850000000006</v>
      </c>
      <c r="G17" s="25"/>
      <c r="H17" s="17"/>
    </row>
    <row r="18" spans="1:8" x14ac:dyDescent="0.2">
      <c r="A18" s="210"/>
      <c r="B18" s="5" t="s">
        <v>183</v>
      </c>
      <c r="C18" s="27"/>
      <c r="D18" s="28">
        <f>'#9420.00 OPN Architects'!D23</f>
        <v>73864</v>
      </c>
      <c r="E18" s="28">
        <f>'#9420.00 OPN Architects'!F23</f>
        <v>39131.14</v>
      </c>
      <c r="F18" s="24">
        <f>'#9420.00 OPN Architects'!H23</f>
        <v>34732.86</v>
      </c>
      <c r="G18" s="25"/>
      <c r="H18" s="17"/>
    </row>
    <row r="19" spans="1:8" x14ac:dyDescent="0.2">
      <c r="A19" s="210" t="s">
        <v>148</v>
      </c>
      <c r="B19" s="5" t="s">
        <v>222</v>
      </c>
      <c r="C19" s="27"/>
      <c r="D19" s="28">
        <f>'#9420.00 MTS Contracting (3)'!D23</f>
        <v>30328.15</v>
      </c>
      <c r="E19" s="28">
        <f>'#9420.00 MTS Contracting (3)'!F23</f>
        <v>30328.15</v>
      </c>
      <c r="F19" s="24">
        <f>'#9420.00 MTS Contracting (3)'!H23</f>
        <v>0</v>
      </c>
      <c r="G19" s="25"/>
      <c r="H19" s="17"/>
    </row>
    <row r="20" spans="1:8" s="17" customFormat="1" ht="13.35" customHeight="1" x14ac:dyDescent="0.2">
      <c r="A20" s="12"/>
      <c r="B20" s="5"/>
      <c r="C20" s="27"/>
      <c r="D20" s="28"/>
      <c r="E20" s="28"/>
      <c r="F20" s="24"/>
      <c r="G20" s="29"/>
    </row>
    <row r="21" spans="1:8" s="30" customFormat="1" ht="24" customHeight="1" thickBot="1" x14ac:dyDescent="0.3">
      <c r="B21" s="31" t="s">
        <v>16</v>
      </c>
      <c r="C21" s="32">
        <f>SUM(C8:C20)</f>
        <v>2000000</v>
      </c>
      <c r="D21" s="32">
        <f>SUM(D8:D20)</f>
        <v>1095225.02</v>
      </c>
      <c r="E21" s="32">
        <f>SUM(E8:E20)</f>
        <v>1030738.88</v>
      </c>
      <c r="F21" s="32">
        <f>SUM(D21-E21)</f>
        <v>64486.140000000014</v>
      </c>
      <c r="G21" s="32">
        <f>C21-D21</f>
        <v>904774.98</v>
      </c>
    </row>
    <row r="22" spans="1:8" s="17" customFormat="1" ht="13.35" customHeight="1" thickTop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s="17" customFormat="1" ht="13.35" customHeight="1" x14ac:dyDescent="0.2">
      <c r="A29" s="12"/>
      <c r="B29" s="5"/>
      <c r="C29" s="5"/>
      <c r="D29" s="29"/>
      <c r="E29" s="29"/>
      <c r="F29" s="29"/>
      <c r="G29" s="29"/>
    </row>
    <row r="30" spans="1:8" x14ac:dyDescent="0.2">
      <c r="D30" s="33"/>
    </row>
    <row r="31" spans="1:8" x14ac:dyDescent="0.2">
      <c r="D31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zoomScaleNormal="100" workbookViewId="0">
      <selection activeCell="E29" sqref="E29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31.2851562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77</v>
      </c>
      <c r="B4" s="37"/>
      <c r="D4" s="218" t="s">
        <v>78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79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96</v>
      </c>
      <c r="B9" s="232">
        <v>45478</v>
      </c>
      <c r="C9" s="233" t="s">
        <v>82</v>
      </c>
      <c r="D9" s="234">
        <v>262788</v>
      </c>
      <c r="E9" s="235">
        <f>D9</f>
        <v>262788</v>
      </c>
      <c r="F9" s="236"/>
      <c r="G9" s="236"/>
      <c r="H9" s="236">
        <f>E9</f>
        <v>262788</v>
      </c>
    </row>
    <row r="10" spans="1:9" x14ac:dyDescent="0.2">
      <c r="A10" s="231" t="s">
        <v>123</v>
      </c>
      <c r="B10" s="237">
        <v>45579</v>
      </c>
      <c r="C10" s="233" t="s">
        <v>124</v>
      </c>
      <c r="D10" s="234"/>
      <c r="E10" s="235">
        <f t="shared" ref="E10:E21" si="0">E9+D10</f>
        <v>262788</v>
      </c>
      <c r="F10" s="238">
        <v>52678.36</v>
      </c>
      <c r="G10" s="236">
        <f t="shared" ref="G10:G21" si="1">G9+F10</f>
        <v>52678.36</v>
      </c>
      <c r="H10" s="236">
        <f t="shared" ref="H10:H21" si="2">H9-F10+D10</f>
        <v>210109.64</v>
      </c>
      <c r="I10" s="239">
        <f>2772.54</f>
        <v>2772.54</v>
      </c>
    </row>
    <row r="11" spans="1:9" x14ac:dyDescent="0.2">
      <c r="A11" s="231" t="s">
        <v>129</v>
      </c>
      <c r="B11" s="232">
        <v>45596</v>
      </c>
      <c r="C11" s="233" t="s">
        <v>130</v>
      </c>
      <c r="D11" s="234"/>
      <c r="E11" s="235">
        <f t="shared" si="0"/>
        <v>262788</v>
      </c>
      <c r="F11" s="238">
        <v>21145.29</v>
      </c>
      <c r="G11" s="236">
        <f t="shared" si="1"/>
        <v>73823.649999999994</v>
      </c>
      <c r="H11" s="236">
        <f t="shared" si="2"/>
        <v>188964.35</v>
      </c>
      <c r="I11" s="239">
        <f>I10+1112.91</f>
        <v>3885.45</v>
      </c>
    </row>
    <row r="12" spans="1:9" x14ac:dyDescent="0.2">
      <c r="A12" s="231" t="s">
        <v>134</v>
      </c>
      <c r="B12" s="232">
        <v>45608</v>
      </c>
      <c r="C12" s="233" t="s">
        <v>135</v>
      </c>
      <c r="D12" s="235"/>
      <c r="E12" s="235">
        <f t="shared" si="0"/>
        <v>262788</v>
      </c>
      <c r="F12" s="238">
        <v>23248.89</v>
      </c>
      <c r="G12" s="236">
        <f t="shared" si="1"/>
        <v>97072.54</v>
      </c>
      <c r="H12" s="236">
        <f t="shared" si="2"/>
        <v>165715.46000000002</v>
      </c>
      <c r="I12" s="239">
        <f>I11+1223.63</f>
        <v>5109.08</v>
      </c>
    </row>
    <row r="13" spans="1:9" x14ac:dyDescent="0.2">
      <c r="A13" s="231" t="s">
        <v>141</v>
      </c>
      <c r="B13" s="232">
        <v>45629</v>
      </c>
      <c r="C13" s="233" t="s">
        <v>142</v>
      </c>
      <c r="D13" s="235"/>
      <c r="E13" s="235">
        <f t="shared" si="0"/>
        <v>262788</v>
      </c>
      <c r="F13" s="238">
        <v>33279.39</v>
      </c>
      <c r="G13" s="236">
        <f t="shared" si="1"/>
        <v>130351.93</v>
      </c>
      <c r="H13" s="236">
        <f t="shared" si="2"/>
        <v>132436.07</v>
      </c>
      <c r="I13" s="239">
        <f>I12+1751.55</f>
        <v>6860.63</v>
      </c>
    </row>
    <row r="14" spans="1:9" x14ac:dyDescent="0.2">
      <c r="A14" s="231" t="s">
        <v>158</v>
      </c>
      <c r="B14" s="232">
        <v>45649</v>
      </c>
      <c r="C14" s="233" t="s">
        <v>159</v>
      </c>
      <c r="D14" s="234"/>
      <c r="E14" s="235">
        <f t="shared" si="0"/>
        <v>262788</v>
      </c>
      <c r="F14" s="238">
        <v>19897.3</v>
      </c>
      <c r="G14" s="236">
        <f t="shared" si="1"/>
        <v>150249.22999999998</v>
      </c>
      <c r="H14" s="236">
        <f t="shared" si="2"/>
        <v>112538.77</v>
      </c>
      <c r="I14" s="239">
        <f>I13+1047.23</f>
        <v>7907.8600000000006</v>
      </c>
    </row>
    <row r="15" spans="1:9" x14ac:dyDescent="0.2">
      <c r="A15" s="231" t="s">
        <v>194</v>
      </c>
      <c r="B15" s="232">
        <v>45688</v>
      </c>
      <c r="C15" s="233" t="s">
        <v>195</v>
      </c>
      <c r="D15" s="240">
        <v>-104630.91</v>
      </c>
      <c r="E15" s="235">
        <f t="shared" si="0"/>
        <v>158157.09</v>
      </c>
      <c r="F15" s="239">
        <v>7907.86</v>
      </c>
      <c r="G15" s="236">
        <f t="shared" si="1"/>
        <v>158157.08999999997</v>
      </c>
      <c r="H15" s="236">
        <f t="shared" si="2"/>
        <v>0</v>
      </c>
    </row>
    <row r="16" spans="1:9" x14ac:dyDescent="0.2">
      <c r="A16" s="231"/>
      <c r="B16" s="232"/>
      <c r="C16" s="233"/>
      <c r="D16" s="235"/>
      <c r="E16" s="235">
        <f t="shared" si="0"/>
        <v>158157.09</v>
      </c>
      <c r="F16" s="239"/>
      <c r="G16" s="236">
        <f t="shared" si="1"/>
        <v>158157.08999999997</v>
      </c>
      <c r="H16" s="236">
        <f t="shared" si="2"/>
        <v>0</v>
      </c>
    </row>
    <row r="17" spans="1:9" x14ac:dyDescent="0.2">
      <c r="A17" s="231"/>
      <c r="B17" s="232"/>
      <c r="C17" s="233"/>
      <c r="D17" s="235"/>
      <c r="E17" s="235">
        <f t="shared" si="0"/>
        <v>158157.09</v>
      </c>
      <c r="F17" s="239"/>
      <c r="G17" s="236">
        <f t="shared" si="1"/>
        <v>158157.08999999997</v>
      </c>
      <c r="H17" s="236">
        <f t="shared" si="2"/>
        <v>0</v>
      </c>
    </row>
    <row r="18" spans="1:9" x14ac:dyDescent="0.2">
      <c r="A18" s="231"/>
      <c r="B18" s="232"/>
      <c r="C18" s="233"/>
      <c r="D18" s="235"/>
      <c r="E18" s="235">
        <f t="shared" si="0"/>
        <v>158157.09</v>
      </c>
      <c r="F18" s="239"/>
      <c r="G18" s="236">
        <f t="shared" si="1"/>
        <v>158157.08999999997</v>
      </c>
      <c r="H18" s="236">
        <f t="shared" si="2"/>
        <v>0</v>
      </c>
    </row>
    <row r="19" spans="1:9" x14ac:dyDescent="0.2">
      <c r="A19" s="231"/>
      <c r="B19" s="232"/>
      <c r="C19" s="233"/>
      <c r="D19" s="235"/>
      <c r="E19" s="235">
        <f t="shared" si="0"/>
        <v>158157.09</v>
      </c>
      <c r="F19" s="236"/>
      <c r="G19" s="236">
        <f t="shared" si="1"/>
        <v>158157.08999999997</v>
      </c>
      <c r="H19" s="236">
        <f t="shared" si="2"/>
        <v>0</v>
      </c>
    </row>
    <row r="20" spans="1:9" x14ac:dyDescent="0.2">
      <c r="A20" s="231"/>
      <c r="B20" s="232"/>
      <c r="C20" s="233"/>
      <c r="D20" s="235"/>
      <c r="E20" s="235">
        <f t="shared" si="0"/>
        <v>158157.09</v>
      </c>
      <c r="F20" s="236"/>
      <c r="G20" s="236">
        <f t="shared" si="1"/>
        <v>158157.08999999997</v>
      </c>
      <c r="H20" s="236">
        <f t="shared" si="2"/>
        <v>0</v>
      </c>
    </row>
    <row r="21" spans="1:9" x14ac:dyDescent="0.2">
      <c r="A21" s="231"/>
      <c r="B21" s="232"/>
      <c r="C21" s="241"/>
      <c r="D21" s="235"/>
      <c r="E21" s="235">
        <f t="shared" si="0"/>
        <v>158157.09</v>
      </c>
      <c r="F21" s="236"/>
      <c r="G21" s="236">
        <f t="shared" si="1"/>
        <v>158157.08999999997</v>
      </c>
      <c r="H21" s="236">
        <f t="shared" si="2"/>
        <v>0</v>
      </c>
    </row>
    <row r="22" spans="1:9" x14ac:dyDescent="0.2">
      <c r="A22" s="231"/>
      <c r="D22" s="236"/>
      <c r="E22" s="236"/>
      <c r="F22" s="236"/>
      <c r="G22" s="236"/>
      <c r="H22" s="236"/>
    </row>
    <row r="23" spans="1:9" ht="13.5" thickBot="1" x14ac:dyDescent="0.25">
      <c r="A23" s="231"/>
      <c r="B23" s="243"/>
      <c r="C23" s="244" t="s">
        <v>28</v>
      </c>
      <c r="D23" s="245">
        <f>SUM(D9:D22)</f>
        <v>158157.09</v>
      </c>
      <c r="E23" s="245"/>
      <c r="F23" s="245">
        <f>SUM(F9:F22)</f>
        <v>158157.08999999997</v>
      </c>
      <c r="G23" s="245"/>
      <c r="H23" s="245">
        <f>D23-F23</f>
        <v>0</v>
      </c>
      <c r="I23" s="44" t="s">
        <v>147</v>
      </c>
    </row>
    <row r="24" spans="1:9" ht="13.5" thickTop="1" x14ac:dyDescent="0.2">
      <c r="D24" s="236"/>
      <c r="E24" s="236"/>
      <c r="F24" s="236"/>
      <c r="G24" s="236"/>
      <c r="H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42" t="s">
        <v>83</v>
      </c>
      <c r="D26" s="236">
        <f>118304.4-47163.15</f>
        <v>71141.25</v>
      </c>
      <c r="E26" s="236"/>
      <c r="F26" s="236">
        <f>25349.61+5584+13117.98+16619.06+6913.53+3557.07</f>
        <v>71141.25</v>
      </c>
      <c r="G26" s="236"/>
      <c r="H26" s="236">
        <f>D26-F26</f>
        <v>0</v>
      </c>
    </row>
    <row r="27" spans="1:9" x14ac:dyDescent="0.2">
      <c r="C27" s="242" t="s">
        <v>84</v>
      </c>
      <c r="D27" s="236">
        <f>77346-2172.24</f>
        <v>75173.759999999995</v>
      </c>
      <c r="E27" s="236"/>
      <c r="F27" s="236">
        <f>25255.4+10536.66+8220.67+14745.66+12656.68+3758.69</f>
        <v>75173.760000000009</v>
      </c>
      <c r="G27" s="236"/>
      <c r="H27" s="236">
        <f>D27-F27</f>
        <v>0</v>
      </c>
    </row>
    <row r="28" spans="1:9" x14ac:dyDescent="0.2">
      <c r="C28" s="242" t="s">
        <v>85</v>
      </c>
      <c r="D28" s="236">
        <f>27544.8-23011.38</f>
        <v>4533.4199999999983</v>
      </c>
      <c r="E28" s="236"/>
      <c r="F28" s="236">
        <f>1199.35+436.13+817.74+1526.44+327.09+226.67</f>
        <v>4533.42</v>
      </c>
      <c r="G28" s="236"/>
      <c r="H28" s="236">
        <f>D28-F28</f>
        <v>0</v>
      </c>
    </row>
    <row r="29" spans="1:9" x14ac:dyDescent="0.2">
      <c r="C29" s="242" t="s">
        <v>86</v>
      </c>
      <c r="D29" s="236">
        <v>6900</v>
      </c>
      <c r="E29" s="236"/>
      <c r="F29" s="236">
        <f>874+4588.5+1092.5+345</f>
        <v>6900</v>
      </c>
      <c r="G29" s="236"/>
      <c r="H29" s="236">
        <f>D29-F29</f>
        <v>0</v>
      </c>
    </row>
    <row r="30" spans="1:9" x14ac:dyDescent="0.2">
      <c r="C30" s="242" t="s">
        <v>87</v>
      </c>
      <c r="D30" s="236">
        <f>32692.8-32284.14</f>
        <v>408.65999999999985</v>
      </c>
      <c r="E30" s="236"/>
      <c r="F30" s="236">
        <f>388.23+20.43</f>
        <v>408.66</v>
      </c>
      <c r="G30" s="236"/>
      <c r="H30" s="236">
        <f>D30-F30</f>
        <v>0</v>
      </c>
    </row>
    <row r="31" spans="1:9" ht="13.5" thickBot="1" x14ac:dyDescent="0.25">
      <c r="D31" s="267">
        <f>SUM(D26:D30)</f>
        <v>158157.09</v>
      </c>
      <c r="E31" s="236"/>
      <c r="F31" s="267">
        <f>SUM(F26:F30)</f>
        <v>158157.09000000003</v>
      </c>
      <c r="G31" s="236"/>
      <c r="H31" s="267">
        <f>SUM(H26:H30)</f>
        <v>0</v>
      </c>
    </row>
    <row r="32" spans="1:9" ht="13.5" thickTop="1" x14ac:dyDescent="0.2">
      <c r="E32" s="248"/>
    </row>
    <row r="33" spans="5:5" x14ac:dyDescent="0.2">
      <c r="E33" s="248"/>
    </row>
    <row r="34" spans="5:5" x14ac:dyDescent="0.2">
      <c r="E34" s="248"/>
    </row>
    <row r="35" spans="5:5" x14ac:dyDescent="0.2">
      <c r="E35" s="248"/>
    </row>
    <row r="36" spans="5:5" x14ac:dyDescent="0.2">
      <c r="E36" s="248"/>
    </row>
    <row r="37" spans="5:5" x14ac:dyDescent="0.2">
      <c r="E37" s="248"/>
    </row>
    <row r="38" spans="5:5" x14ac:dyDescent="0.2">
      <c r="E38" s="248"/>
    </row>
    <row r="39" spans="5:5" x14ac:dyDescent="0.2">
      <c r="E39" s="248"/>
    </row>
    <row r="40" spans="5:5" x14ac:dyDescent="0.2">
      <c r="E40" s="248"/>
    </row>
    <row r="41" spans="5:5" x14ac:dyDescent="0.2">
      <c r="E41" s="248"/>
    </row>
    <row r="42" spans="5:5" x14ac:dyDescent="0.2">
      <c r="E42" s="248"/>
    </row>
    <row r="43" spans="5:5" x14ac:dyDescent="0.2">
      <c r="E43" s="248"/>
    </row>
    <row r="44" spans="5:5" x14ac:dyDescent="0.2">
      <c r="E44" s="248"/>
    </row>
    <row r="45" spans="5:5" x14ac:dyDescent="0.2">
      <c r="E45" s="248"/>
    </row>
    <row r="46" spans="5:5" x14ac:dyDescent="0.2">
      <c r="E46" s="248"/>
    </row>
    <row r="47" spans="5:5" x14ac:dyDescent="0.2">
      <c r="E47" s="248"/>
    </row>
    <row r="48" spans="5:5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42"/>
  <sheetViews>
    <sheetView topLeftCell="A16" zoomScaleNormal="100" workbookViewId="0">
      <selection activeCell="D45" sqref="D4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f>20000+10000</f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36" si="0">F9+E10</f>
        <v>30000</v>
      </c>
      <c r="G10" s="203">
        <f>160.43+83.44</f>
        <v>243.87</v>
      </c>
      <c r="H10" s="64">
        <f t="shared" ref="H10:H36" si="1">H9+G10</f>
        <v>243.87</v>
      </c>
      <c r="I10" s="64">
        <f t="shared" ref="I10:I36" si="2">I9-G10+E10</f>
        <v>29756.13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30000</v>
      </c>
      <c r="G11" s="203">
        <f>210+2450.8</f>
        <v>2660.8</v>
      </c>
      <c r="H11" s="64">
        <f t="shared" si="1"/>
        <v>2904.67</v>
      </c>
      <c r="I11" s="64">
        <f t="shared" si="2"/>
        <v>27095.33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30000</v>
      </c>
      <c r="G12" s="203">
        <f>283.61+119.91</f>
        <v>403.52</v>
      </c>
      <c r="H12" s="64">
        <f t="shared" si="1"/>
        <v>3308.19</v>
      </c>
      <c r="I12" s="64">
        <f t="shared" si="2"/>
        <v>26691.81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30000</v>
      </c>
      <c r="G13" s="203">
        <f>148+1907.4</f>
        <v>2055.4</v>
      </c>
      <c r="H13" s="64">
        <f t="shared" si="1"/>
        <v>5363.59</v>
      </c>
      <c r="I13" s="64">
        <f t="shared" si="2"/>
        <v>24636.41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30000</v>
      </c>
      <c r="G14" s="203">
        <f>199.37+72.22</f>
        <v>271.59000000000003</v>
      </c>
      <c r="H14" s="64">
        <f t="shared" si="1"/>
        <v>5635.18</v>
      </c>
      <c r="I14" s="64">
        <f t="shared" si="2"/>
        <v>24364.82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30000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21950.02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30000</v>
      </c>
      <c r="G16" s="203">
        <f>144.77+294.5</f>
        <v>439.27</v>
      </c>
      <c r="H16" s="64">
        <f t="shared" si="1"/>
        <v>8489.25</v>
      </c>
      <c r="I16" s="64">
        <f t="shared" si="2"/>
        <v>21510.75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30000</v>
      </c>
      <c r="G17" s="203">
        <f>217.5+2706</f>
        <v>2923.5</v>
      </c>
      <c r="H17" s="64">
        <f t="shared" si="1"/>
        <v>11412.75</v>
      </c>
      <c r="I17" s="64">
        <f t="shared" si="2"/>
        <v>18587.25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30000</v>
      </c>
      <c r="G18" s="203">
        <f>68.15+123.41</f>
        <v>191.56</v>
      </c>
      <c r="H18" s="64">
        <f t="shared" si="1"/>
        <v>11604.31</v>
      </c>
      <c r="I18" s="64">
        <f t="shared" si="2"/>
        <v>18395.689999999999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30000</v>
      </c>
      <c r="G19" s="203">
        <f>85+1189.1</f>
        <v>1274.0999999999999</v>
      </c>
      <c r="H19" s="64">
        <f t="shared" si="1"/>
        <v>12878.41</v>
      </c>
      <c r="I19" s="64">
        <f t="shared" si="2"/>
        <v>17121.59</v>
      </c>
    </row>
    <row r="20" spans="1:9" x14ac:dyDescent="0.2">
      <c r="A20" s="208" t="s">
        <v>178</v>
      </c>
      <c r="B20" s="259">
        <v>45666</v>
      </c>
      <c r="C20" s="260">
        <v>2507</v>
      </c>
      <c r="D20" s="261" t="s">
        <v>179</v>
      </c>
      <c r="E20" s="63"/>
      <c r="F20" s="63">
        <f t="shared" si="0"/>
        <v>30000</v>
      </c>
      <c r="G20" s="203">
        <f>65.61+79.24</f>
        <v>144.85</v>
      </c>
      <c r="H20" s="64">
        <f t="shared" si="1"/>
        <v>13023.26</v>
      </c>
      <c r="I20" s="64">
        <f t="shared" si="2"/>
        <v>16976.740000000002</v>
      </c>
    </row>
    <row r="21" spans="1:9" x14ac:dyDescent="0.2">
      <c r="A21" s="208" t="s">
        <v>178</v>
      </c>
      <c r="B21" s="259">
        <v>45666</v>
      </c>
      <c r="C21" s="260">
        <v>9500</v>
      </c>
      <c r="D21" s="262" t="s">
        <v>180</v>
      </c>
      <c r="E21" s="63"/>
      <c r="F21" s="63">
        <f t="shared" si="0"/>
        <v>30000</v>
      </c>
      <c r="G21" s="203">
        <f>103.5+1344.2</f>
        <v>1447.7</v>
      </c>
      <c r="H21" s="64">
        <f t="shared" si="1"/>
        <v>14470.960000000001</v>
      </c>
      <c r="I21" s="64">
        <f t="shared" si="2"/>
        <v>15529.04</v>
      </c>
    </row>
    <row r="22" spans="1:9" x14ac:dyDescent="0.2">
      <c r="A22" s="208" t="s">
        <v>200</v>
      </c>
      <c r="B22" s="259">
        <v>45699</v>
      </c>
      <c r="C22" s="260">
        <v>2507</v>
      </c>
      <c r="D22" s="261" t="s">
        <v>201</v>
      </c>
      <c r="E22" s="63"/>
      <c r="F22" s="63">
        <f t="shared" si="0"/>
        <v>30000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15382.09</v>
      </c>
    </row>
    <row r="23" spans="1:9" x14ac:dyDescent="0.2">
      <c r="A23" s="208" t="s">
        <v>200</v>
      </c>
      <c r="B23" s="259">
        <v>45699</v>
      </c>
      <c r="C23" s="260">
        <v>9500</v>
      </c>
      <c r="D23" s="262" t="s">
        <v>202</v>
      </c>
      <c r="E23" s="63"/>
      <c r="F23" s="63">
        <f t="shared" si="0"/>
        <v>30000</v>
      </c>
      <c r="G23" s="203">
        <f>96.5+1470.7</f>
        <v>1567.2</v>
      </c>
      <c r="H23" s="64">
        <f t="shared" si="1"/>
        <v>16185.110000000002</v>
      </c>
      <c r="I23" s="64">
        <f t="shared" si="2"/>
        <v>13814.89</v>
      </c>
    </row>
    <row r="24" spans="1:9" x14ac:dyDescent="0.2">
      <c r="A24" s="208" t="s">
        <v>207</v>
      </c>
      <c r="B24" s="269">
        <v>45723</v>
      </c>
      <c r="C24" s="270">
        <v>2507</v>
      </c>
      <c r="D24" s="261" t="s">
        <v>208</v>
      </c>
      <c r="E24" s="63"/>
      <c r="F24" s="63">
        <f t="shared" si="0"/>
        <v>30000</v>
      </c>
      <c r="G24" s="203">
        <f>84.24+306.42</f>
        <v>390.66</v>
      </c>
      <c r="H24" s="64">
        <f t="shared" si="1"/>
        <v>16575.770000000004</v>
      </c>
      <c r="I24" s="64">
        <f t="shared" si="2"/>
        <v>13424.23</v>
      </c>
    </row>
    <row r="25" spans="1:9" x14ac:dyDescent="0.2">
      <c r="A25" s="208" t="s">
        <v>207</v>
      </c>
      <c r="B25" s="269">
        <v>45723</v>
      </c>
      <c r="C25" s="270">
        <v>9500</v>
      </c>
      <c r="D25" s="262" t="s">
        <v>209</v>
      </c>
      <c r="E25" s="63"/>
      <c r="F25" s="63">
        <f t="shared" si="0"/>
        <v>30000</v>
      </c>
      <c r="G25" s="203">
        <f>117.5+1570.8</f>
        <v>1688.3</v>
      </c>
      <c r="H25" s="64">
        <f t="shared" si="1"/>
        <v>18264.070000000003</v>
      </c>
      <c r="I25" s="64">
        <f t="shared" si="2"/>
        <v>11735.93</v>
      </c>
    </row>
    <row r="26" spans="1:9" x14ac:dyDescent="0.2">
      <c r="A26" s="208" t="s">
        <v>213</v>
      </c>
      <c r="B26" s="269">
        <v>45756</v>
      </c>
      <c r="C26" s="270">
        <v>2507</v>
      </c>
      <c r="D26" s="261" t="s">
        <v>214</v>
      </c>
      <c r="E26" s="63"/>
      <c r="F26" s="63">
        <f t="shared" si="0"/>
        <v>30000</v>
      </c>
      <c r="G26" s="203">
        <f>150.69+220.88</f>
        <v>371.57</v>
      </c>
      <c r="H26" s="64">
        <f t="shared" si="1"/>
        <v>18635.640000000003</v>
      </c>
      <c r="I26" s="64">
        <f t="shared" si="2"/>
        <v>11364.36</v>
      </c>
    </row>
    <row r="27" spans="1:9" x14ac:dyDescent="0.2">
      <c r="A27" s="208" t="s">
        <v>213</v>
      </c>
      <c r="B27" s="269">
        <v>45756</v>
      </c>
      <c r="C27" s="270">
        <v>9500</v>
      </c>
      <c r="D27" s="262" t="s">
        <v>215</v>
      </c>
      <c r="E27" s="63"/>
      <c r="F27" s="63">
        <f t="shared" si="0"/>
        <v>30000</v>
      </c>
      <c r="G27" s="203">
        <f>208+2450.8</f>
        <v>2658.8</v>
      </c>
      <c r="H27" s="64">
        <f t="shared" si="1"/>
        <v>21294.440000000002</v>
      </c>
      <c r="I27" s="64">
        <f t="shared" si="2"/>
        <v>8705.5600000000013</v>
      </c>
    </row>
    <row r="28" spans="1:9" x14ac:dyDescent="0.2">
      <c r="A28" s="208" t="s">
        <v>228</v>
      </c>
      <c r="B28" s="269">
        <v>45786</v>
      </c>
      <c r="C28" s="270">
        <v>2507</v>
      </c>
      <c r="D28" s="261" t="s">
        <v>229</v>
      </c>
      <c r="E28" s="63"/>
      <c r="F28" s="63">
        <f t="shared" si="0"/>
        <v>30000</v>
      </c>
      <c r="G28" s="203">
        <f>104.56+140.24</f>
        <v>244.8</v>
      </c>
      <c r="H28" s="64">
        <f t="shared" si="1"/>
        <v>21539.24</v>
      </c>
      <c r="I28" s="64">
        <f t="shared" si="2"/>
        <v>8460.760000000002</v>
      </c>
    </row>
    <row r="29" spans="1:9" x14ac:dyDescent="0.2">
      <c r="A29" s="208" t="s">
        <v>228</v>
      </c>
      <c r="B29" s="269">
        <v>45786</v>
      </c>
      <c r="C29" s="270">
        <v>9500</v>
      </c>
      <c r="D29" s="262" t="s">
        <v>230</v>
      </c>
      <c r="E29" s="63"/>
      <c r="F29" s="63">
        <f t="shared" si="0"/>
        <v>30000</v>
      </c>
      <c r="G29" s="203">
        <f>131+1548.8</f>
        <v>1679.8</v>
      </c>
      <c r="H29" s="64">
        <f t="shared" si="1"/>
        <v>23219.040000000001</v>
      </c>
      <c r="I29" s="64">
        <f t="shared" si="2"/>
        <v>6780.9600000000019</v>
      </c>
    </row>
    <row r="30" spans="1:9" x14ac:dyDescent="0.2">
      <c r="A30" s="208" t="s">
        <v>231</v>
      </c>
      <c r="B30" s="269">
        <v>45817</v>
      </c>
      <c r="C30" s="270">
        <v>2507</v>
      </c>
      <c r="D30" s="261" t="s">
        <v>232</v>
      </c>
      <c r="E30" s="63"/>
      <c r="F30" s="63">
        <f t="shared" si="0"/>
        <v>30000</v>
      </c>
      <c r="G30" s="203">
        <f>96.51+79.24</f>
        <v>175.75</v>
      </c>
      <c r="H30" s="64">
        <f t="shared" si="1"/>
        <v>23394.79</v>
      </c>
      <c r="I30" s="64">
        <f t="shared" si="2"/>
        <v>6605.2100000000019</v>
      </c>
    </row>
    <row r="31" spans="1:9" x14ac:dyDescent="0.2">
      <c r="A31" s="208" t="s">
        <v>231</v>
      </c>
      <c r="B31" s="269">
        <v>45817</v>
      </c>
      <c r="C31" s="270">
        <v>9500</v>
      </c>
      <c r="D31" s="262" t="s">
        <v>233</v>
      </c>
      <c r="E31" s="63"/>
      <c r="F31" s="63">
        <f t="shared" si="0"/>
        <v>30000</v>
      </c>
      <c r="G31" s="203">
        <f>112+1262.8</f>
        <v>1374.8</v>
      </c>
      <c r="H31" s="64">
        <f t="shared" si="1"/>
        <v>24769.59</v>
      </c>
      <c r="I31" s="64">
        <f t="shared" si="2"/>
        <v>5230.4100000000017</v>
      </c>
    </row>
    <row r="32" spans="1:9" x14ac:dyDescent="0.2">
      <c r="A32" s="208" t="s">
        <v>240</v>
      </c>
      <c r="B32" s="269">
        <v>45848</v>
      </c>
      <c r="C32" s="270">
        <v>2507</v>
      </c>
      <c r="D32" s="261" t="s">
        <v>241</v>
      </c>
      <c r="E32" s="63"/>
      <c r="F32" s="63">
        <f t="shared" si="0"/>
        <v>30000</v>
      </c>
      <c r="G32" s="203">
        <f>60.96+70.82</f>
        <v>131.78</v>
      </c>
      <c r="H32" s="64">
        <f t="shared" si="1"/>
        <v>24901.37</v>
      </c>
      <c r="I32" s="64">
        <f t="shared" si="2"/>
        <v>5098.6300000000019</v>
      </c>
    </row>
    <row r="33" spans="1:9" x14ac:dyDescent="0.2">
      <c r="A33" s="208" t="s">
        <v>240</v>
      </c>
      <c r="B33" s="269">
        <v>45848</v>
      </c>
      <c r="C33" s="270">
        <v>9500</v>
      </c>
      <c r="D33" s="262" t="s">
        <v>242</v>
      </c>
      <c r="E33" s="63"/>
      <c r="F33" s="63">
        <f t="shared" si="0"/>
        <v>30000</v>
      </c>
      <c r="G33" s="203">
        <f>90.5+931.7</f>
        <v>1022.2</v>
      </c>
      <c r="H33" s="64">
        <f t="shared" si="1"/>
        <v>25923.57</v>
      </c>
      <c r="I33" s="64">
        <f t="shared" si="2"/>
        <v>4076.4300000000021</v>
      </c>
    </row>
    <row r="34" spans="1:9" x14ac:dyDescent="0.2">
      <c r="A34" s="208"/>
      <c r="B34" s="269"/>
      <c r="C34" s="270"/>
      <c r="D34" s="261"/>
      <c r="E34" s="63"/>
      <c r="F34" s="63">
        <f t="shared" si="0"/>
        <v>30000</v>
      </c>
      <c r="G34" s="268"/>
      <c r="H34" s="64">
        <f t="shared" si="1"/>
        <v>25923.57</v>
      </c>
      <c r="I34" s="64">
        <f t="shared" si="2"/>
        <v>4076.4300000000021</v>
      </c>
    </row>
    <row r="35" spans="1:9" x14ac:dyDescent="0.2">
      <c r="A35" s="208"/>
      <c r="B35" s="269"/>
      <c r="C35" s="270"/>
      <c r="D35" s="262"/>
      <c r="E35" s="63"/>
      <c r="F35" s="63">
        <f t="shared" si="0"/>
        <v>30000</v>
      </c>
      <c r="G35" s="268"/>
      <c r="H35" s="64">
        <f t="shared" si="1"/>
        <v>25923.57</v>
      </c>
      <c r="I35" s="64">
        <f t="shared" si="2"/>
        <v>4076.4300000000021</v>
      </c>
    </row>
    <row r="36" spans="1:9" x14ac:dyDescent="0.2">
      <c r="A36" s="208"/>
      <c r="B36" s="259"/>
      <c r="C36" s="260"/>
      <c r="D36" s="262"/>
      <c r="E36" s="63"/>
      <c r="F36" s="63">
        <f t="shared" si="0"/>
        <v>30000</v>
      </c>
      <c r="G36" s="276"/>
      <c r="H36" s="64">
        <f t="shared" si="1"/>
        <v>25923.57</v>
      </c>
      <c r="I36" s="64">
        <f t="shared" si="2"/>
        <v>4076.4300000000021</v>
      </c>
    </row>
    <row r="37" spans="1:9" x14ac:dyDescent="0.2">
      <c r="A37" s="73"/>
      <c r="B37" s="61"/>
      <c r="C37" s="61"/>
      <c r="D37" s="69"/>
      <c r="E37" s="64"/>
      <c r="F37" s="64"/>
      <c r="G37" s="64"/>
      <c r="H37" s="64"/>
      <c r="I37" s="64"/>
    </row>
    <row r="38" spans="1:9" ht="13.5" thickBot="1" x14ac:dyDescent="0.25">
      <c r="A38" s="73"/>
      <c r="B38" s="70"/>
      <c r="C38" s="70"/>
      <c r="D38" s="71" t="s">
        <v>28</v>
      </c>
      <c r="E38" s="72">
        <f>SUM(E9:E37)</f>
        <v>30000</v>
      </c>
      <c r="F38" s="72"/>
      <c r="G38" s="72">
        <f>SUM(G9:G37)</f>
        <v>25923.57</v>
      </c>
      <c r="H38" s="72"/>
      <c r="I38" s="72">
        <f>E38-G38</f>
        <v>4076.4300000000003</v>
      </c>
    </row>
    <row r="39" spans="1:9" ht="13.5" thickTop="1" x14ac:dyDescent="0.2">
      <c r="A39" s="73"/>
      <c r="B39" s="61"/>
      <c r="C39" s="61"/>
      <c r="D39" s="69"/>
      <c r="E39" s="64"/>
      <c r="F39" s="64"/>
      <c r="G39" s="64"/>
      <c r="H39" s="64"/>
      <c r="I39" s="64"/>
    </row>
    <row r="40" spans="1:9" x14ac:dyDescent="0.2">
      <c r="A40" s="73"/>
      <c r="B40" s="61"/>
      <c r="C40" s="61"/>
      <c r="D40" s="69"/>
      <c r="E40" s="64"/>
      <c r="F40" s="64"/>
      <c r="G40" s="64"/>
      <c r="H40" s="64"/>
      <c r="I40" s="64"/>
    </row>
    <row r="41" spans="1:9" x14ac:dyDescent="0.2">
      <c r="A41" s="73"/>
      <c r="B41" s="61"/>
      <c r="C41" s="61"/>
      <c r="D41" s="69"/>
      <c r="E41" s="64"/>
      <c r="F41" s="64"/>
      <c r="G41" s="64"/>
      <c r="H41" s="64"/>
      <c r="I41" s="64"/>
    </row>
    <row r="42" spans="1:9" x14ac:dyDescent="0.2">
      <c r="A42" s="73"/>
      <c r="B42" s="61"/>
      <c r="C42" s="61"/>
      <c r="D42" s="69"/>
      <c r="E42" s="64"/>
      <c r="F42" s="64"/>
      <c r="G42" s="64"/>
      <c r="H42" s="64"/>
      <c r="I42" s="64"/>
    </row>
    <row r="43" spans="1:9" x14ac:dyDescent="0.2">
      <c r="A43" s="73"/>
      <c r="B43" s="61"/>
      <c r="C43" s="61"/>
      <c r="D43" s="69"/>
      <c r="E43" s="64"/>
      <c r="F43" s="64"/>
      <c r="G43" s="64"/>
      <c r="H43" s="64"/>
      <c r="I43" s="64"/>
    </row>
    <row r="44" spans="1:9" x14ac:dyDescent="0.2">
      <c r="A44" s="73"/>
      <c r="B44" s="61"/>
      <c r="C44" s="61"/>
      <c r="D44" s="69"/>
      <c r="E44" s="64"/>
      <c r="F44" s="64"/>
      <c r="G44" s="64"/>
      <c r="H44" s="64"/>
      <c r="I44" s="64"/>
    </row>
    <row r="45" spans="1:9" x14ac:dyDescent="0.2">
      <c r="A45" s="73"/>
      <c r="B45" s="61"/>
      <c r="C45" s="61"/>
      <c r="D45" s="69"/>
      <c r="E45" s="64"/>
      <c r="F45" s="64"/>
      <c r="G45" s="64"/>
      <c r="H45" s="64"/>
      <c r="I45" s="64"/>
    </row>
    <row r="46" spans="1:9" x14ac:dyDescent="0.2">
      <c r="A46" s="73"/>
      <c r="B46" s="61"/>
      <c r="C46" s="61"/>
      <c r="D46" s="69"/>
      <c r="E46" s="64"/>
      <c r="F46" s="64"/>
      <c r="G46" s="64"/>
      <c r="H46" s="64"/>
      <c r="I46" s="64"/>
    </row>
    <row r="47" spans="1:9" x14ac:dyDescent="0.2">
      <c r="A47" s="73"/>
      <c r="B47" s="61"/>
      <c r="C47" s="61"/>
      <c r="D47" s="69"/>
      <c r="E47" s="45"/>
      <c r="F47" s="74"/>
      <c r="G47" s="75"/>
      <c r="H47" s="75"/>
      <c r="I47" s="45"/>
    </row>
    <row r="48" spans="1:9" x14ac:dyDescent="0.2">
      <c r="A48" s="73"/>
      <c r="B48" s="61"/>
      <c r="C48" s="61"/>
      <c r="D48" s="69"/>
      <c r="E48" s="45"/>
      <c r="F48" s="74"/>
      <c r="G48" s="75"/>
      <c r="H48" s="75"/>
      <c r="I48" s="45"/>
    </row>
    <row r="49" spans="1:9" x14ac:dyDescent="0.2">
      <c r="A49" s="73"/>
      <c r="B49" s="61"/>
      <c r="C49" s="61"/>
      <c r="D49" s="69"/>
      <c r="E49" s="45"/>
      <c r="F49" s="74"/>
      <c r="G49" s="75"/>
      <c r="H49" s="75"/>
      <c r="I49" s="45"/>
    </row>
    <row r="50" spans="1:9" x14ac:dyDescent="0.2">
      <c r="A50" s="73"/>
      <c r="B50" s="61"/>
      <c r="C50" s="61"/>
      <c r="D50" s="69"/>
      <c r="E50" s="45"/>
      <c r="F50" s="74"/>
      <c r="G50" s="75"/>
      <c r="H50" s="75"/>
      <c r="I50" s="45"/>
    </row>
    <row r="51" spans="1:9" x14ac:dyDescent="0.2">
      <c r="A51" s="73"/>
      <c r="B51" s="61"/>
      <c r="C51" s="61"/>
      <c r="D51" s="69"/>
      <c r="E51" s="45"/>
      <c r="F51" s="74"/>
      <c r="G51" s="75"/>
      <c r="H51" s="75"/>
      <c r="I51" s="45"/>
    </row>
    <row r="52" spans="1:9" x14ac:dyDescent="0.2">
      <c r="A52" s="73"/>
      <c r="B52" s="61"/>
      <c r="C52" s="61"/>
      <c r="D52" s="69"/>
      <c r="E52" s="45"/>
      <c r="F52" s="74"/>
      <c r="G52" s="75"/>
      <c r="H52" s="75"/>
      <c r="I52" s="45"/>
    </row>
    <row r="53" spans="1:9" x14ac:dyDescent="0.2">
      <c r="A53" s="73"/>
      <c r="B53" s="61"/>
      <c r="C53" s="61"/>
      <c r="D53" s="69"/>
      <c r="E53" s="45"/>
      <c r="F53" s="74"/>
      <c r="G53" s="75"/>
      <c r="H53" s="75"/>
      <c r="I53" s="45"/>
    </row>
    <row r="54" spans="1:9" x14ac:dyDescent="0.2">
      <c r="A54" s="73"/>
      <c r="B54" s="61"/>
      <c r="C54" s="61"/>
      <c r="D54" s="69"/>
      <c r="E54" s="45"/>
      <c r="F54" s="74"/>
      <c r="G54" s="75"/>
      <c r="H54" s="75"/>
      <c r="I54" s="45"/>
    </row>
    <row r="55" spans="1:9" x14ac:dyDescent="0.2">
      <c r="A55" s="73"/>
      <c r="B55" s="61"/>
      <c r="C55" s="61"/>
      <c r="D55" s="69"/>
      <c r="E55" s="45"/>
      <c r="F55" s="74"/>
      <c r="G55" s="75"/>
      <c r="H55" s="75"/>
      <c r="I55" s="45"/>
    </row>
    <row r="56" spans="1:9" x14ac:dyDescent="0.2">
      <c r="A56" s="73"/>
      <c r="B56" s="61"/>
      <c r="C56" s="61"/>
      <c r="D56" s="69"/>
      <c r="E56" s="45"/>
      <c r="F56" s="74"/>
      <c r="G56" s="75"/>
      <c r="H56" s="75"/>
      <c r="I56" s="45"/>
    </row>
    <row r="57" spans="1:9" x14ac:dyDescent="0.2">
      <c r="F57" s="79"/>
    </row>
    <row r="58" spans="1:9" x14ac:dyDescent="0.2">
      <c r="F58" s="79"/>
    </row>
    <row r="59" spans="1:9" x14ac:dyDescent="0.2">
      <c r="F59" s="79"/>
    </row>
    <row r="60" spans="1:9" x14ac:dyDescent="0.2">
      <c r="F60" s="79"/>
    </row>
    <row r="61" spans="1:9" x14ac:dyDescent="0.2">
      <c r="F61" s="79"/>
    </row>
    <row r="62" spans="1:9" x14ac:dyDescent="0.2">
      <c r="F62" s="79"/>
    </row>
    <row r="63" spans="1:9" x14ac:dyDescent="0.2">
      <c r="F63" s="79"/>
    </row>
    <row r="64" spans="1:9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  <row r="635" spans="6:6" x14ac:dyDescent="0.2">
      <c r="F635" s="79"/>
    </row>
    <row r="636" spans="6:6" x14ac:dyDescent="0.2">
      <c r="F636" s="79"/>
    </row>
    <row r="637" spans="6:6" x14ac:dyDescent="0.2">
      <c r="F637" s="79"/>
    </row>
    <row r="638" spans="6:6" x14ac:dyDescent="0.2">
      <c r="F638" s="79"/>
    </row>
    <row r="639" spans="6:6" x14ac:dyDescent="0.2">
      <c r="F639" s="79"/>
    </row>
    <row r="640" spans="6:6" x14ac:dyDescent="0.2">
      <c r="F640" s="79"/>
    </row>
    <row r="641" spans="6:6" x14ac:dyDescent="0.2">
      <c r="F641" s="79"/>
    </row>
    <row r="642" spans="6:6" x14ac:dyDescent="0.2">
      <c r="F642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44.28515625" style="45" customWidth="1"/>
    <col min="6" max="6" width="19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227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7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5">
      <c r="A10" s="208" t="s">
        <v>213</v>
      </c>
      <c r="B10" s="269">
        <v>45756</v>
      </c>
      <c r="C10" s="270">
        <v>2507</v>
      </c>
      <c r="D10" s="93"/>
      <c r="E10" s="271" t="s">
        <v>216</v>
      </c>
      <c r="F10" s="272" t="s">
        <v>217</v>
      </c>
      <c r="G10" s="203">
        <v>2354.35</v>
      </c>
      <c r="H10" s="75">
        <f>H9+G10</f>
        <v>3545.51</v>
      </c>
    </row>
    <row r="11" spans="1:30" x14ac:dyDescent="0.2">
      <c r="A11" s="93"/>
      <c r="B11" s="60"/>
      <c r="C11" s="60"/>
      <c r="D11" s="60"/>
      <c r="F11" s="28"/>
      <c r="G11" s="268"/>
      <c r="H11" s="75">
        <f t="shared" ref="H11:H20" si="0">H10+G11</f>
        <v>3545.51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G12" s="268"/>
      <c r="H12" s="75">
        <f t="shared" si="0"/>
        <v>3545.51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68"/>
      <c r="H13" s="75">
        <f t="shared" si="0"/>
        <v>3545.51</v>
      </c>
    </row>
    <row r="14" spans="1:30" x14ac:dyDescent="0.2">
      <c r="A14" s="93"/>
      <c r="B14" s="60"/>
      <c r="C14" s="60"/>
      <c r="D14" s="60"/>
      <c r="F14" s="28"/>
      <c r="G14" s="268"/>
      <c r="H14" s="75">
        <f t="shared" si="0"/>
        <v>3545.51</v>
      </c>
    </row>
    <row r="15" spans="1:30" x14ac:dyDescent="0.2">
      <c r="A15" s="93"/>
      <c r="B15" s="60"/>
      <c r="C15" s="60"/>
      <c r="D15" s="60"/>
      <c r="E15" s="94"/>
      <c r="F15" s="28"/>
      <c r="G15" s="268"/>
      <c r="H15" s="75">
        <f t="shared" si="0"/>
        <v>3545.51</v>
      </c>
    </row>
    <row r="16" spans="1:30" x14ac:dyDescent="0.2">
      <c r="A16" s="93"/>
      <c r="B16" s="60"/>
      <c r="C16" s="60"/>
      <c r="D16" s="60"/>
      <c r="F16" s="28"/>
      <c r="G16" s="268"/>
      <c r="H16" s="75">
        <f t="shared" si="0"/>
        <v>3545.51</v>
      </c>
    </row>
    <row r="17" spans="1:30" x14ac:dyDescent="0.2">
      <c r="B17" s="60"/>
      <c r="C17" s="60"/>
      <c r="D17" s="60"/>
      <c r="F17" s="28"/>
      <c r="G17" s="268"/>
      <c r="H17" s="75">
        <f t="shared" si="0"/>
        <v>3545.51</v>
      </c>
    </row>
    <row r="18" spans="1:30" x14ac:dyDescent="0.2">
      <c r="B18" s="60"/>
      <c r="C18" s="60"/>
      <c r="D18" s="60"/>
      <c r="F18" s="28"/>
      <c r="G18" s="268"/>
      <c r="H18" s="75">
        <f t="shared" si="0"/>
        <v>3545.51</v>
      </c>
    </row>
    <row r="19" spans="1:30" x14ac:dyDescent="0.2">
      <c r="B19" s="60"/>
      <c r="C19" s="60"/>
      <c r="D19" s="60"/>
      <c r="F19" s="28"/>
      <c r="G19" s="268"/>
      <c r="H19" s="75">
        <f t="shared" si="0"/>
        <v>3545.51</v>
      </c>
    </row>
    <row r="20" spans="1:30" x14ac:dyDescent="0.2">
      <c r="B20" s="60"/>
      <c r="C20" s="60"/>
      <c r="D20" s="60"/>
      <c r="F20" s="28"/>
      <c r="G20" s="268"/>
      <c r="H20" s="75">
        <f t="shared" si="0"/>
        <v>3545.51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3545.51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0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21.710937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89</v>
      </c>
      <c r="B4" s="37"/>
      <c r="D4" s="218" t="s">
        <v>90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91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92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13" t="s">
        <v>5</v>
      </c>
    </row>
    <row r="9" spans="1:9" x14ac:dyDescent="0.2">
      <c r="A9" s="231" t="s">
        <v>97</v>
      </c>
      <c r="B9" s="232">
        <v>45478</v>
      </c>
      <c r="C9" s="233" t="s">
        <v>82</v>
      </c>
      <c r="D9" s="234">
        <v>75929.320000000007</v>
      </c>
      <c r="E9" s="235">
        <f>D9</f>
        <v>75929.320000000007</v>
      </c>
      <c r="F9" s="236"/>
      <c r="G9" s="236"/>
      <c r="H9" s="236">
        <f>E9</f>
        <v>75929.320000000007</v>
      </c>
    </row>
    <row r="10" spans="1:9" x14ac:dyDescent="0.2">
      <c r="A10" s="231" t="s">
        <v>101</v>
      </c>
      <c r="B10" s="237">
        <v>45512</v>
      </c>
      <c r="C10" s="233" t="s">
        <v>102</v>
      </c>
      <c r="D10" s="235"/>
      <c r="E10" s="235">
        <f t="shared" ref="E10:E21" si="0">E9+D10</f>
        <v>75929.320000000007</v>
      </c>
      <c r="F10" s="238">
        <v>13456.74</v>
      </c>
      <c r="G10" s="236">
        <f t="shared" ref="G10:G21" si="1">G9+F10</f>
        <v>13456.74</v>
      </c>
      <c r="H10" s="236">
        <f t="shared" ref="H10:H21" si="2">H9-F10+D10</f>
        <v>62472.580000000009</v>
      </c>
    </row>
    <row r="11" spans="1:9" x14ac:dyDescent="0.2">
      <c r="A11" s="231" t="s">
        <v>97</v>
      </c>
      <c r="B11" s="232">
        <v>45541</v>
      </c>
      <c r="C11" s="233" t="s">
        <v>106</v>
      </c>
      <c r="D11" s="234">
        <v>7712.4</v>
      </c>
      <c r="E11" s="235">
        <f t="shared" si="0"/>
        <v>83641.72</v>
      </c>
      <c r="F11" s="238"/>
      <c r="G11" s="236">
        <f t="shared" si="1"/>
        <v>13456.74</v>
      </c>
      <c r="H11" s="236">
        <f t="shared" si="2"/>
        <v>70184.98000000001</v>
      </c>
    </row>
    <row r="12" spans="1:9" x14ac:dyDescent="0.2">
      <c r="A12" s="231" t="s">
        <v>108</v>
      </c>
      <c r="B12" s="232">
        <v>45548</v>
      </c>
      <c r="C12" s="233" t="s">
        <v>109</v>
      </c>
      <c r="D12" s="235"/>
      <c r="E12" s="235">
        <f t="shared" si="0"/>
        <v>83641.72</v>
      </c>
      <c r="F12" s="238">
        <v>13861.42</v>
      </c>
      <c r="G12" s="236">
        <f t="shared" si="1"/>
        <v>27318.16</v>
      </c>
      <c r="H12" s="236">
        <f t="shared" si="2"/>
        <v>56323.560000000012</v>
      </c>
    </row>
    <row r="13" spans="1:9" x14ac:dyDescent="0.2">
      <c r="A13" s="231" t="s">
        <v>119</v>
      </c>
      <c r="B13" s="232">
        <v>45567</v>
      </c>
      <c r="C13" s="233" t="s">
        <v>120</v>
      </c>
      <c r="D13" s="235"/>
      <c r="E13" s="235">
        <f t="shared" si="0"/>
        <v>83641.72</v>
      </c>
      <c r="F13" s="238">
        <v>14921.06</v>
      </c>
      <c r="G13" s="236">
        <f t="shared" si="1"/>
        <v>42239.22</v>
      </c>
      <c r="H13" s="236">
        <f t="shared" si="2"/>
        <v>41402.500000000015</v>
      </c>
    </row>
    <row r="14" spans="1:9" x14ac:dyDescent="0.2">
      <c r="A14" s="231" t="s">
        <v>136</v>
      </c>
      <c r="B14" s="232">
        <v>45608</v>
      </c>
      <c r="C14" s="233" t="s">
        <v>137</v>
      </c>
      <c r="D14" s="235"/>
      <c r="E14" s="235">
        <f t="shared" si="0"/>
        <v>83641.72</v>
      </c>
      <c r="F14" s="238">
        <v>17913.060000000001</v>
      </c>
      <c r="G14" s="236">
        <f t="shared" si="1"/>
        <v>60152.28</v>
      </c>
      <c r="H14" s="236">
        <f t="shared" si="2"/>
        <v>23489.440000000013</v>
      </c>
    </row>
    <row r="15" spans="1:9" x14ac:dyDescent="0.2">
      <c r="A15" s="231" t="s">
        <v>97</v>
      </c>
      <c r="B15" s="232">
        <v>45611</v>
      </c>
      <c r="C15" s="233" t="s">
        <v>122</v>
      </c>
      <c r="D15" s="234">
        <v>52939.82</v>
      </c>
      <c r="E15" s="235">
        <f t="shared" si="0"/>
        <v>136581.54</v>
      </c>
      <c r="F15" s="239"/>
      <c r="G15" s="236">
        <f t="shared" si="1"/>
        <v>60152.28</v>
      </c>
      <c r="H15" s="236">
        <f t="shared" si="2"/>
        <v>76429.260000000009</v>
      </c>
    </row>
    <row r="16" spans="1:9" x14ac:dyDescent="0.2">
      <c r="A16" s="231" t="s">
        <v>146</v>
      </c>
      <c r="B16" s="232">
        <v>45631</v>
      </c>
      <c r="C16" s="233" t="s">
        <v>149</v>
      </c>
      <c r="D16" s="240">
        <v>-12552.44</v>
      </c>
      <c r="E16" s="235">
        <f t="shared" si="0"/>
        <v>124029.1</v>
      </c>
      <c r="F16" s="239">
        <v>63876.82</v>
      </c>
      <c r="G16" s="236">
        <f t="shared" si="1"/>
        <v>124029.1</v>
      </c>
      <c r="H16" s="236">
        <f t="shared" si="2"/>
        <v>0</v>
      </c>
    </row>
    <row r="17" spans="1:9" x14ac:dyDescent="0.2">
      <c r="A17" s="231"/>
      <c r="B17" s="232"/>
      <c r="C17" s="233"/>
      <c r="D17" s="235"/>
      <c r="E17" s="235">
        <f t="shared" si="0"/>
        <v>124029.1</v>
      </c>
      <c r="F17" s="239"/>
      <c r="G17" s="236">
        <f t="shared" si="1"/>
        <v>124029.1</v>
      </c>
      <c r="H17" s="236">
        <f t="shared" si="2"/>
        <v>0</v>
      </c>
    </row>
    <row r="18" spans="1:9" x14ac:dyDescent="0.2">
      <c r="A18" s="231"/>
      <c r="B18" s="232"/>
      <c r="C18" s="233"/>
      <c r="D18" s="235"/>
      <c r="E18" s="235">
        <f t="shared" si="0"/>
        <v>124029.1</v>
      </c>
      <c r="F18" s="239"/>
      <c r="G18" s="236">
        <f t="shared" si="1"/>
        <v>124029.1</v>
      </c>
      <c r="H18" s="236">
        <f t="shared" si="2"/>
        <v>0</v>
      </c>
    </row>
    <row r="19" spans="1:9" x14ac:dyDescent="0.2">
      <c r="A19" s="231"/>
      <c r="B19" s="232"/>
      <c r="C19" s="233"/>
      <c r="D19" s="235"/>
      <c r="E19" s="235">
        <f t="shared" si="0"/>
        <v>124029.1</v>
      </c>
      <c r="F19" s="236"/>
      <c r="G19" s="236">
        <f t="shared" si="1"/>
        <v>124029.1</v>
      </c>
      <c r="H19" s="236">
        <f t="shared" si="2"/>
        <v>0</v>
      </c>
    </row>
    <row r="20" spans="1:9" x14ac:dyDescent="0.2">
      <c r="A20" s="231"/>
      <c r="B20" s="232"/>
      <c r="C20" s="233"/>
      <c r="D20" s="235"/>
      <c r="E20" s="235">
        <f t="shared" si="0"/>
        <v>124029.1</v>
      </c>
      <c r="F20" s="236"/>
      <c r="G20" s="236">
        <f t="shared" si="1"/>
        <v>124029.1</v>
      </c>
      <c r="H20" s="236">
        <f t="shared" si="2"/>
        <v>0</v>
      </c>
    </row>
    <row r="21" spans="1:9" x14ac:dyDescent="0.2">
      <c r="A21" s="231"/>
      <c r="B21" s="232"/>
      <c r="C21" s="241"/>
      <c r="D21" s="235"/>
      <c r="E21" s="235">
        <f t="shared" si="0"/>
        <v>124029.1</v>
      </c>
      <c r="F21" s="236"/>
      <c r="G21" s="236">
        <f t="shared" si="1"/>
        <v>124029.1</v>
      </c>
      <c r="H21" s="236">
        <f t="shared" si="2"/>
        <v>0</v>
      </c>
    </row>
    <row r="22" spans="1:9" x14ac:dyDescent="0.2">
      <c r="A22" s="231"/>
      <c r="D22" s="236"/>
      <c r="E22" s="236"/>
      <c r="F22" s="236"/>
      <c r="G22" s="236"/>
      <c r="H22" s="236"/>
    </row>
    <row r="23" spans="1:9" ht="13.5" thickBot="1" x14ac:dyDescent="0.25">
      <c r="A23" s="231"/>
      <c r="B23" s="243"/>
      <c r="C23" s="244" t="s">
        <v>28</v>
      </c>
      <c r="D23" s="245">
        <f>SUM(D9:D22)</f>
        <v>124029.1</v>
      </c>
      <c r="E23" s="245"/>
      <c r="F23" s="245">
        <f>SUM(F9:F22)</f>
        <v>124029.1</v>
      </c>
      <c r="G23" s="245"/>
      <c r="H23" s="245">
        <f>D23-F23</f>
        <v>0</v>
      </c>
      <c r="I23" s="44" t="s">
        <v>147</v>
      </c>
    </row>
    <row r="24" spans="1:9" ht="13.5" thickTop="1" x14ac:dyDescent="0.2">
      <c r="D24" s="236"/>
      <c r="E24" s="236"/>
      <c r="F24" s="236"/>
      <c r="G24" s="236"/>
      <c r="H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42" t="s">
        <v>93</v>
      </c>
      <c r="D26" s="236">
        <v>60789.919999999998</v>
      </c>
      <c r="E26" s="236"/>
      <c r="F26" s="236">
        <f>11056.74+11361.42+12212.91+12679.37+13479.48</f>
        <v>60789.919999999998</v>
      </c>
      <c r="G26" s="236"/>
      <c r="H26" s="236">
        <f>D26-F26</f>
        <v>0</v>
      </c>
    </row>
    <row r="27" spans="1:9" x14ac:dyDescent="0.2">
      <c r="C27" s="242" t="s">
        <v>94</v>
      </c>
      <c r="D27" s="236">
        <f>2000-1900.49</f>
        <v>99.509999999999991</v>
      </c>
      <c r="E27" s="236"/>
      <c r="F27" s="236">
        <f>99.51</f>
        <v>99.51</v>
      </c>
      <c r="G27" s="236"/>
      <c r="H27" s="236">
        <f>D27-F27</f>
        <v>0</v>
      </c>
    </row>
    <row r="28" spans="1:9" x14ac:dyDescent="0.2">
      <c r="C28" s="242" t="s">
        <v>95</v>
      </c>
      <c r="D28" s="236">
        <v>13139.4</v>
      </c>
      <c r="E28" s="236"/>
      <c r="F28" s="236">
        <f>2400+2500+2000+1200+5039.4</f>
        <v>13139.4</v>
      </c>
      <c r="G28" s="236"/>
      <c r="H28" s="236">
        <f>D28-F28</f>
        <v>0</v>
      </c>
    </row>
    <row r="29" spans="1:9" x14ac:dyDescent="0.2">
      <c r="C29" s="242" t="s">
        <v>106</v>
      </c>
      <c r="D29" s="236">
        <f>7712.4-871.42</f>
        <v>6840.98</v>
      </c>
      <c r="E29" s="236"/>
      <c r="F29" s="236">
        <f>708.15+3934.18+2198.65</f>
        <v>6840.98</v>
      </c>
      <c r="G29" s="236"/>
      <c r="H29" s="236">
        <f>D29-F29</f>
        <v>0</v>
      </c>
    </row>
    <row r="30" spans="1:9" x14ac:dyDescent="0.2">
      <c r="C30" s="242" t="s">
        <v>122</v>
      </c>
      <c r="D30" s="236">
        <f>52939.82-9780.53</f>
        <v>43159.29</v>
      </c>
      <c r="E30" s="236"/>
      <c r="F30" s="236">
        <f>13826.62+29332.67</f>
        <v>43159.29</v>
      </c>
      <c r="G30" s="236"/>
      <c r="H30" s="236">
        <f>D30-F30</f>
        <v>0</v>
      </c>
    </row>
    <row r="31" spans="1:9" ht="13.5" thickBot="1" x14ac:dyDescent="0.25">
      <c r="C31" s="247" t="s">
        <v>107</v>
      </c>
      <c r="D31" s="245">
        <f>SUM(D26:D30)</f>
        <v>124029.1</v>
      </c>
      <c r="E31" s="236"/>
      <c r="F31" s="245">
        <f>SUM(F26:F30)</f>
        <v>124029.1</v>
      </c>
      <c r="G31" s="236"/>
      <c r="H31" s="245">
        <f>SUM(H26:H30)</f>
        <v>0</v>
      </c>
    </row>
    <row r="32" spans="1:9" ht="13.5" thickTop="1" x14ac:dyDescent="0.2">
      <c r="E32" s="248"/>
    </row>
    <row r="33" spans="5:5" x14ac:dyDescent="0.2">
      <c r="E33" s="248"/>
    </row>
    <row r="34" spans="5:5" x14ac:dyDescent="0.2">
      <c r="E34" s="248"/>
    </row>
    <row r="35" spans="5:5" x14ac:dyDescent="0.2">
      <c r="E35" s="248"/>
    </row>
    <row r="36" spans="5:5" x14ac:dyDescent="0.2">
      <c r="E36" s="248"/>
    </row>
    <row r="37" spans="5:5" x14ac:dyDescent="0.2">
      <c r="E37" s="248"/>
    </row>
    <row r="38" spans="5:5" x14ac:dyDescent="0.2">
      <c r="E38" s="248"/>
    </row>
    <row r="39" spans="5:5" x14ac:dyDescent="0.2">
      <c r="E39" s="248"/>
    </row>
    <row r="40" spans="5:5" x14ac:dyDescent="0.2">
      <c r="E40" s="248"/>
    </row>
    <row r="41" spans="5:5" x14ac:dyDescent="0.2">
      <c r="E41" s="248"/>
    </row>
    <row r="42" spans="5:5" x14ac:dyDescent="0.2">
      <c r="E42" s="248"/>
    </row>
    <row r="43" spans="5:5" x14ac:dyDescent="0.2">
      <c r="E43" s="248"/>
    </row>
    <row r="44" spans="5:5" x14ac:dyDescent="0.2">
      <c r="E44" s="248"/>
    </row>
    <row r="45" spans="5:5" x14ac:dyDescent="0.2">
      <c r="E45" s="248"/>
    </row>
    <row r="46" spans="5:5" x14ac:dyDescent="0.2">
      <c r="E46" s="248"/>
    </row>
    <row r="47" spans="5:5" x14ac:dyDescent="0.2">
      <c r="E47" s="248"/>
    </row>
    <row r="48" spans="5:5" x14ac:dyDescent="0.2">
      <c r="E48" s="248"/>
    </row>
    <row r="49" spans="1:256" s="249" customFormat="1" x14ac:dyDescent="0.2">
      <c r="A49" s="246"/>
      <c r="B49" s="233"/>
      <c r="C49" s="242"/>
      <c r="D49" s="50"/>
      <c r="E49" s="248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49" customFormat="1" x14ac:dyDescent="0.2">
      <c r="A50" s="246"/>
      <c r="B50" s="233"/>
      <c r="C50" s="242"/>
      <c r="D50" s="50"/>
      <c r="E50" s="248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49" customFormat="1" x14ac:dyDescent="0.2">
      <c r="A51" s="246"/>
      <c r="B51" s="233"/>
      <c r="C51" s="242"/>
      <c r="D51" s="50"/>
      <c r="E51" s="248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49" customFormat="1" x14ac:dyDescent="0.2">
      <c r="A52" s="246"/>
      <c r="B52" s="233"/>
      <c r="C52" s="242"/>
      <c r="D52" s="50"/>
      <c r="E52" s="248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49" customFormat="1" x14ac:dyDescent="0.2">
      <c r="A53" s="246"/>
      <c r="B53" s="233"/>
      <c r="C53" s="242"/>
      <c r="D53" s="50"/>
      <c r="E53" s="248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49" customFormat="1" x14ac:dyDescent="0.2">
      <c r="A54" s="246"/>
      <c r="B54" s="233"/>
      <c r="C54" s="242"/>
      <c r="D54" s="50"/>
      <c r="E54" s="248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49" customFormat="1" x14ac:dyDescent="0.2">
      <c r="A55" s="246"/>
      <c r="B55" s="233"/>
      <c r="C55" s="242"/>
      <c r="D55" s="50"/>
      <c r="E55" s="248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49" customFormat="1" x14ac:dyDescent="0.2">
      <c r="A56" s="246"/>
      <c r="B56" s="233"/>
      <c r="C56" s="242"/>
      <c r="D56" s="50"/>
      <c r="E56" s="248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49" customFormat="1" x14ac:dyDescent="0.2">
      <c r="A57" s="246"/>
      <c r="B57" s="233"/>
      <c r="C57" s="242"/>
      <c r="D57" s="50"/>
      <c r="E57" s="248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49" customFormat="1" x14ac:dyDescent="0.2">
      <c r="A58" s="246"/>
      <c r="B58" s="233"/>
      <c r="C58" s="242"/>
      <c r="D58" s="50"/>
      <c r="E58" s="248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49" customFormat="1" x14ac:dyDescent="0.2">
      <c r="A59" s="246"/>
      <c r="B59" s="233"/>
      <c r="C59" s="242"/>
      <c r="D59" s="50"/>
      <c r="E59" s="248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49" customFormat="1" x14ac:dyDescent="0.2">
      <c r="A60" s="246"/>
      <c r="B60" s="233"/>
      <c r="C60" s="242"/>
      <c r="D60" s="50"/>
      <c r="E60" s="248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49" customFormat="1" x14ac:dyDescent="0.2">
      <c r="A61" s="246"/>
      <c r="B61" s="233"/>
      <c r="C61" s="242"/>
      <c r="D61" s="50"/>
      <c r="E61" s="248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49" customFormat="1" x14ac:dyDescent="0.2">
      <c r="A62" s="246"/>
      <c r="B62" s="233"/>
      <c r="C62" s="242"/>
      <c r="D62" s="50"/>
      <c r="E62" s="248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49" customFormat="1" x14ac:dyDescent="0.2">
      <c r="A63" s="246"/>
      <c r="B63" s="233"/>
      <c r="C63" s="242"/>
      <c r="D63" s="50"/>
      <c r="E63" s="248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49" customFormat="1" x14ac:dyDescent="0.2">
      <c r="A64" s="246"/>
      <c r="B64" s="233"/>
      <c r="C64" s="242"/>
      <c r="D64" s="50"/>
      <c r="E64" s="248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49" customFormat="1" x14ac:dyDescent="0.2">
      <c r="A65" s="246"/>
      <c r="B65" s="233"/>
      <c r="C65" s="242"/>
      <c r="D65" s="50"/>
      <c r="E65" s="248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49" customFormat="1" x14ac:dyDescent="0.2">
      <c r="A66" s="246"/>
      <c r="B66" s="233"/>
      <c r="C66" s="242"/>
      <c r="D66" s="50"/>
      <c r="E66" s="248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49" customFormat="1" x14ac:dyDescent="0.2">
      <c r="A67" s="246"/>
      <c r="B67" s="233"/>
      <c r="C67" s="242"/>
      <c r="D67" s="50"/>
      <c r="E67" s="24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49" customFormat="1" x14ac:dyDescent="0.2">
      <c r="A68" s="246"/>
      <c r="B68" s="233"/>
      <c r="C68" s="242"/>
      <c r="D68" s="50"/>
      <c r="E68" s="248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49" customFormat="1" x14ac:dyDescent="0.2">
      <c r="A69" s="246"/>
      <c r="B69" s="233"/>
      <c r="C69" s="242"/>
      <c r="D69" s="50"/>
      <c r="E69" s="248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49" customFormat="1" x14ac:dyDescent="0.2">
      <c r="A70" s="246"/>
      <c r="B70" s="233"/>
      <c r="C70" s="242"/>
      <c r="D70" s="50"/>
      <c r="E70" s="248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49" customFormat="1" x14ac:dyDescent="0.2">
      <c r="A71" s="246"/>
      <c r="B71" s="233"/>
      <c r="C71" s="242"/>
      <c r="D71" s="50"/>
      <c r="E71" s="248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49" customFormat="1" x14ac:dyDescent="0.2">
      <c r="A72" s="246"/>
      <c r="B72" s="233"/>
      <c r="C72" s="242"/>
      <c r="D72" s="50"/>
      <c r="E72" s="248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49" customFormat="1" x14ac:dyDescent="0.2">
      <c r="A73" s="246"/>
      <c r="B73" s="233"/>
      <c r="C73" s="242"/>
      <c r="D73" s="50"/>
      <c r="E73" s="248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49" customFormat="1" x14ac:dyDescent="0.2">
      <c r="A74" s="246"/>
      <c r="B74" s="233"/>
      <c r="C74" s="242"/>
      <c r="D74" s="50"/>
      <c r="E74" s="248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49" customFormat="1" x14ac:dyDescent="0.2">
      <c r="A75" s="246"/>
      <c r="B75" s="233"/>
      <c r="C75" s="242"/>
      <c r="D75" s="50"/>
      <c r="E75" s="248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49" customFormat="1" x14ac:dyDescent="0.2">
      <c r="A76" s="246"/>
      <c r="B76" s="233"/>
      <c r="C76" s="242"/>
      <c r="D76" s="50"/>
      <c r="E76" s="248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49" customFormat="1" x14ac:dyDescent="0.2">
      <c r="A77" s="246"/>
      <c r="B77" s="233"/>
      <c r="C77" s="242"/>
      <c r="D77" s="50"/>
      <c r="E77" s="248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49" customFormat="1" x14ac:dyDescent="0.2">
      <c r="A78" s="246"/>
      <c r="B78" s="233"/>
      <c r="C78" s="242"/>
      <c r="D78" s="50"/>
      <c r="E78" s="248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49" customFormat="1" x14ac:dyDescent="0.2">
      <c r="A79" s="246"/>
      <c r="B79" s="233"/>
      <c r="C79" s="242"/>
      <c r="D79" s="50"/>
      <c r="E79" s="248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49" customFormat="1" x14ac:dyDescent="0.2">
      <c r="A80" s="246"/>
      <c r="B80" s="233"/>
      <c r="C80" s="242"/>
      <c r="D80" s="50"/>
      <c r="E80" s="248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49" customFormat="1" x14ac:dyDescent="0.2">
      <c r="A81" s="246"/>
      <c r="B81" s="233"/>
      <c r="C81" s="242"/>
      <c r="D81" s="50"/>
      <c r="E81" s="248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49" customFormat="1" x14ac:dyDescent="0.2">
      <c r="A82" s="246"/>
      <c r="B82" s="233"/>
      <c r="C82" s="242"/>
      <c r="D82" s="50"/>
      <c r="E82" s="248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49" customFormat="1" x14ac:dyDescent="0.2">
      <c r="A83" s="246"/>
      <c r="B83" s="233"/>
      <c r="C83" s="242"/>
      <c r="D83" s="50"/>
      <c r="E83" s="248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49" customFormat="1" x14ac:dyDescent="0.2">
      <c r="A84" s="246"/>
      <c r="B84" s="233"/>
      <c r="C84" s="242"/>
      <c r="D84" s="50"/>
      <c r="E84" s="248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49" customFormat="1" x14ac:dyDescent="0.2">
      <c r="A85" s="246"/>
      <c r="B85" s="233"/>
      <c r="C85" s="242"/>
      <c r="D85" s="50"/>
      <c r="E85" s="248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49" customFormat="1" x14ac:dyDescent="0.2">
      <c r="A86" s="246"/>
      <c r="B86" s="233"/>
      <c r="C86" s="242"/>
      <c r="D86" s="50"/>
      <c r="E86" s="248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49" customFormat="1" x14ac:dyDescent="0.2">
      <c r="A87" s="246"/>
      <c r="B87" s="233"/>
      <c r="C87" s="242"/>
      <c r="D87" s="50"/>
      <c r="E87" s="248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49" customFormat="1" x14ac:dyDescent="0.2">
      <c r="A88" s="246"/>
      <c r="B88" s="233"/>
      <c r="C88" s="242"/>
      <c r="D88" s="50"/>
      <c r="E88" s="248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49" customFormat="1" x14ac:dyDescent="0.2">
      <c r="A89" s="246"/>
      <c r="B89" s="233"/>
      <c r="C89" s="242"/>
      <c r="D89" s="50"/>
      <c r="E89" s="248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49" customFormat="1" x14ac:dyDescent="0.2">
      <c r="A90" s="246"/>
      <c r="B90" s="233"/>
      <c r="C90" s="242"/>
      <c r="D90" s="50"/>
      <c r="E90" s="248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49" customFormat="1" x14ac:dyDescent="0.2">
      <c r="A91" s="246"/>
      <c r="B91" s="233"/>
      <c r="C91" s="242"/>
      <c r="D91" s="50"/>
      <c r="E91" s="248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49" customFormat="1" x14ac:dyDescent="0.2">
      <c r="A92" s="246"/>
      <c r="B92" s="233"/>
      <c r="C92" s="242"/>
      <c r="D92" s="50"/>
      <c r="E92" s="248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49" customFormat="1" x14ac:dyDescent="0.2">
      <c r="A93" s="246"/>
      <c r="B93" s="233"/>
      <c r="C93" s="242"/>
      <c r="D93" s="50"/>
      <c r="E93" s="248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49" customFormat="1" x14ac:dyDescent="0.2">
      <c r="A94" s="246"/>
      <c r="B94" s="233"/>
      <c r="C94" s="242"/>
      <c r="D94" s="50"/>
      <c r="E94" s="248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49" customFormat="1" x14ac:dyDescent="0.2">
      <c r="A95" s="246"/>
      <c r="B95" s="233"/>
      <c r="C95" s="242"/>
      <c r="D95" s="50"/>
      <c r="E95" s="248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49" customFormat="1" x14ac:dyDescent="0.2">
      <c r="A96" s="246"/>
      <c r="B96" s="233"/>
      <c r="C96" s="242"/>
      <c r="D96" s="50"/>
      <c r="E96" s="248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49" customFormat="1" x14ac:dyDescent="0.2">
      <c r="A97" s="246"/>
      <c r="B97" s="233"/>
      <c r="C97" s="242"/>
      <c r="D97" s="50"/>
      <c r="E97" s="248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49" customFormat="1" x14ac:dyDescent="0.2">
      <c r="A98" s="246"/>
      <c r="B98" s="233"/>
      <c r="C98" s="242"/>
      <c r="D98" s="50"/>
      <c r="E98" s="248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49" customFormat="1" x14ac:dyDescent="0.2">
      <c r="A99" s="246"/>
      <c r="B99" s="233"/>
      <c r="C99" s="242"/>
      <c r="D99" s="50"/>
      <c r="E99" s="248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49" customFormat="1" x14ac:dyDescent="0.2">
      <c r="A100" s="246"/>
      <c r="B100" s="233"/>
      <c r="C100" s="242"/>
      <c r="D100" s="50"/>
      <c r="E100" s="248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49" customFormat="1" x14ac:dyDescent="0.2">
      <c r="A101" s="246"/>
      <c r="B101" s="233"/>
      <c r="C101" s="242"/>
      <c r="D101" s="50"/>
      <c r="E101" s="248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49" customFormat="1" x14ac:dyDescent="0.2">
      <c r="A102" s="246"/>
      <c r="B102" s="233"/>
      <c r="C102" s="242"/>
      <c r="D102" s="50"/>
      <c r="E102" s="248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49" customFormat="1" x14ac:dyDescent="0.2">
      <c r="A103" s="246"/>
      <c r="B103" s="233"/>
      <c r="C103" s="242"/>
      <c r="D103" s="50"/>
      <c r="E103" s="248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49" customFormat="1" x14ac:dyDescent="0.2">
      <c r="A104" s="246"/>
      <c r="B104" s="233"/>
      <c r="C104" s="242"/>
      <c r="D104" s="50"/>
      <c r="E104" s="248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49" customFormat="1" x14ac:dyDescent="0.2">
      <c r="A105" s="246"/>
      <c r="B105" s="233"/>
      <c r="C105" s="242"/>
      <c r="D105" s="50"/>
      <c r="E105" s="248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49" customFormat="1" x14ac:dyDescent="0.2">
      <c r="A106" s="246"/>
      <c r="B106" s="233"/>
      <c r="C106" s="242"/>
      <c r="D106" s="50"/>
      <c r="E106" s="248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49" customFormat="1" x14ac:dyDescent="0.2">
      <c r="A107" s="246"/>
      <c r="B107" s="233"/>
      <c r="C107" s="242"/>
      <c r="D107" s="50"/>
      <c r="E107" s="248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49" customFormat="1" x14ac:dyDescent="0.2">
      <c r="A108" s="246"/>
      <c r="B108" s="233"/>
      <c r="C108" s="242"/>
      <c r="D108" s="50"/>
      <c r="E108" s="248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49" customFormat="1" x14ac:dyDescent="0.2">
      <c r="A109" s="246"/>
      <c r="B109" s="233"/>
      <c r="C109" s="242"/>
      <c r="D109" s="50"/>
      <c r="E109" s="248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49" customFormat="1" x14ac:dyDescent="0.2">
      <c r="A110" s="246"/>
      <c r="B110" s="233"/>
      <c r="C110" s="242"/>
      <c r="D110" s="50"/>
      <c r="E110" s="248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49" customFormat="1" x14ac:dyDescent="0.2">
      <c r="A111" s="246"/>
      <c r="B111" s="233"/>
      <c r="C111" s="242"/>
      <c r="D111" s="50"/>
      <c r="E111" s="248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49" customFormat="1" x14ac:dyDescent="0.2">
      <c r="A112" s="246"/>
      <c r="B112" s="233"/>
      <c r="C112" s="242"/>
      <c r="D112" s="50"/>
      <c r="E112" s="248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49" customFormat="1" x14ac:dyDescent="0.2">
      <c r="A113" s="246"/>
      <c r="B113" s="233"/>
      <c r="C113" s="242"/>
      <c r="D113" s="50"/>
      <c r="E113" s="248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49" customFormat="1" x14ac:dyDescent="0.2">
      <c r="A114" s="246"/>
      <c r="B114" s="233"/>
      <c r="C114" s="242"/>
      <c r="D114" s="50"/>
      <c r="E114" s="248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49" customFormat="1" x14ac:dyDescent="0.2">
      <c r="A115" s="246"/>
      <c r="B115" s="233"/>
      <c r="C115" s="242"/>
      <c r="D115" s="50"/>
      <c r="E115" s="248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49" customFormat="1" x14ac:dyDescent="0.2">
      <c r="A116" s="246"/>
      <c r="B116" s="233"/>
      <c r="C116" s="242"/>
      <c r="D116" s="50"/>
      <c r="E116" s="248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49" customFormat="1" x14ac:dyDescent="0.2">
      <c r="A117" s="246"/>
      <c r="B117" s="233"/>
      <c r="C117" s="242"/>
      <c r="D117" s="50"/>
      <c r="E117" s="248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49" customFormat="1" x14ac:dyDescent="0.2">
      <c r="A118" s="246"/>
      <c r="B118" s="233"/>
      <c r="C118" s="242"/>
      <c r="D118" s="50"/>
      <c r="E118" s="248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49" customFormat="1" x14ac:dyDescent="0.2">
      <c r="A119" s="246"/>
      <c r="B119" s="233"/>
      <c r="C119" s="242"/>
      <c r="D119" s="50"/>
      <c r="E119" s="248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49" customFormat="1" x14ac:dyDescent="0.2">
      <c r="A120" s="246"/>
      <c r="B120" s="233"/>
      <c r="C120" s="242"/>
      <c r="D120" s="50"/>
      <c r="E120" s="248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49" customFormat="1" x14ac:dyDescent="0.2">
      <c r="A121" s="246"/>
      <c r="B121" s="233"/>
      <c r="C121" s="242"/>
      <c r="D121" s="50"/>
      <c r="E121" s="248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49" customFormat="1" x14ac:dyDescent="0.2">
      <c r="A122" s="246"/>
      <c r="B122" s="233"/>
      <c r="C122" s="242"/>
      <c r="D122" s="50"/>
      <c r="E122" s="248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49" customFormat="1" x14ac:dyDescent="0.2">
      <c r="A123" s="246"/>
      <c r="B123" s="233"/>
      <c r="C123" s="242"/>
      <c r="D123" s="50"/>
      <c r="E123" s="248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49" customFormat="1" x14ac:dyDescent="0.2">
      <c r="A124" s="246"/>
      <c r="B124" s="233"/>
      <c r="C124" s="242"/>
      <c r="D124" s="50"/>
      <c r="E124" s="248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49" customFormat="1" x14ac:dyDescent="0.2">
      <c r="A125" s="246"/>
      <c r="B125" s="233"/>
      <c r="C125" s="242"/>
      <c r="D125" s="50"/>
      <c r="E125" s="248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49" customFormat="1" x14ac:dyDescent="0.2">
      <c r="A126" s="246"/>
      <c r="B126" s="233"/>
      <c r="C126" s="242"/>
      <c r="D126" s="50"/>
      <c r="E126" s="248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49" customFormat="1" x14ac:dyDescent="0.2">
      <c r="A127" s="246"/>
      <c r="B127" s="233"/>
      <c r="C127" s="242"/>
      <c r="D127" s="50"/>
      <c r="E127" s="248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49" customFormat="1" x14ac:dyDescent="0.2">
      <c r="A128" s="246"/>
      <c r="B128" s="233"/>
      <c r="C128" s="242"/>
      <c r="D128" s="50"/>
      <c r="E128" s="248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49" customFormat="1" x14ac:dyDescent="0.2">
      <c r="A129" s="246"/>
      <c r="B129" s="233"/>
      <c r="C129" s="242"/>
      <c r="D129" s="50"/>
      <c r="E129" s="248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49" customFormat="1" x14ac:dyDescent="0.2">
      <c r="A130" s="246"/>
      <c r="B130" s="233"/>
      <c r="C130" s="242"/>
      <c r="D130" s="50"/>
      <c r="E130" s="248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49" customFormat="1" x14ac:dyDescent="0.2">
      <c r="A131" s="246"/>
      <c r="B131" s="233"/>
      <c r="C131" s="242"/>
      <c r="D131" s="50"/>
      <c r="E131" s="248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49" customFormat="1" x14ac:dyDescent="0.2">
      <c r="A132" s="246"/>
      <c r="B132" s="233"/>
      <c r="C132" s="242"/>
      <c r="D132" s="50"/>
      <c r="E132" s="248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49" customFormat="1" x14ac:dyDescent="0.2">
      <c r="A133" s="246"/>
      <c r="B133" s="233"/>
      <c r="C133" s="242"/>
      <c r="D133" s="50"/>
      <c r="E133" s="248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49" customFormat="1" x14ac:dyDescent="0.2">
      <c r="A134" s="246"/>
      <c r="B134" s="233"/>
      <c r="C134" s="242"/>
      <c r="D134" s="50"/>
      <c r="E134" s="248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49" customFormat="1" x14ac:dyDescent="0.2">
      <c r="A135" s="246"/>
      <c r="B135" s="233"/>
      <c r="C135" s="242"/>
      <c r="D135" s="50"/>
      <c r="E135" s="248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49" customFormat="1" x14ac:dyDescent="0.2">
      <c r="A136" s="246"/>
      <c r="B136" s="233"/>
      <c r="C136" s="242"/>
      <c r="D136" s="50"/>
      <c r="E136" s="248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49" customFormat="1" x14ac:dyDescent="0.2">
      <c r="A137" s="246"/>
      <c r="B137" s="233"/>
      <c r="C137" s="242"/>
      <c r="D137" s="50"/>
      <c r="E137" s="248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49" customFormat="1" x14ac:dyDescent="0.2">
      <c r="A138" s="246"/>
      <c r="B138" s="233"/>
      <c r="C138" s="242"/>
      <c r="D138" s="50"/>
      <c r="E138" s="248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49" customFormat="1" x14ac:dyDescent="0.2">
      <c r="A139" s="246"/>
      <c r="B139" s="233"/>
      <c r="C139" s="242"/>
      <c r="D139" s="50"/>
      <c r="E139" s="248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49" customFormat="1" x14ac:dyDescent="0.2">
      <c r="A140" s="246"/>
      <c r="B140" s="233"/>
      <c r="C140" s="242"/>
      <c r="D140" s="50"/>
      <c r="E140" s="248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49" customFormat="1" x14ac:dyDescent="0.2">
      <c r="A141" s="246"/>
      <c r="B141" s="233"/>
      <c r="C141" s="242"/>
      <c r="D141" s="50"/>
      <c r="E141" s="248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49" customFormat="1" x14ac:dyDescent="0.2">
      <c r="A142" s="246"/>
      <c r="B142" s="233"/>
      <c r="C142" s="242"/>
      <c r="D142" s="50"/>
      <c r="E142" s="248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49" customFormat="1" x14ac:dyDescent="0.2">
      <c r="A143" s="246"/>
      <c r="B143" s="233"/>
      <c r="C143" s="242"/>
      <c r="D143" s="50"/>
      <c r="E143" s="248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49" customFormat="1" x14ac:dyDescent="0.2">
      <c r="A144" s="246"/>
      <c r="B144" s="233"/>
      <c r="C144" s="242"/>
      <c r="D144" s="50"/>
      <c r="E144" s="248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49" customFormat="1" x14ac:dyDescent="0.2">
      <c r="A145" s="246"/>
      <c r="B145" s="233"/>
      <c r="C145" s="242"/>
      <c r="D145" s="50"/>
      <c r="E145" s="248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49" customFormat="1" x14ac:dyDescent="0.2">
      <c r="A146" s="246"/>
      <c r="B146" s="233"/>
      <c r="C146" s="242"/>
      <c r="D146" s="50"/>
      <c r="E146" s="248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49" customFormat="1" x14ac:dyDescent="0.2">
      <c r="A147" s="246"/>
      <c r="B147" s="233"/>
      <c r="C147" s="242"/>
      <c r="D147" s="50"/>
      <c r="E147" s="248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49" customFormat="1" x14ac:dyDescent="0.2">
      <c r="A148" s="246"/>
      <c r="B148" s="233"/>
      <c r="C148" s="242"/>
      <c r="D148" s="50"/>
      <c r="E148" s="248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49" customFormat="1" x14ac:dyDescent="0.2">
      <c r="A149" s="246"/>
      <c r="B149" s="233"/>
      <c r="C149" s="242"/>
      <c r="D149" s="50"/>
      <c r="E149" s="248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49" customFormat="1" x14ac:dyDescent="0.2">
      <c r="A150" s="246"/>
      <c r="B150" s="233"/>
      <c r="C150" s="242"/>
      <c r="D150" s="50"/>
      <c r="E150" s="248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49" customFormat="1" x14ac:dyDescent="0.2">
      <c r="A151" s="246"/>
      <c r="B151" s="233"/>
      <c r="C151" s="242"/>
      <c r="D151" s="50"/>
      <c r="E151" s="248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49" customFormat="1" x14ac:dyDescent="0.2">
      <c r="A152" s="246"/>
      <c r="B152" s="233"/>
      <c r="C152" s="242"/>
      <c r="D152" s="50"/>
      <c r="E152" s="248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49" customFormat="1" x14ac:dyDescent="0.2">
      <c r="A153" s="246"/>
      <c r="B153" s="233"/>
      <c r="C153" s="242"/>
      <c r="D153" s="50"/>
      <c r="E153" s="248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49" customFormat="1" x14ac:dyDescent="0.2">
      <c r="A154" s="246"/>
      <c r="B154" s="233"/>
      <c r="C154" s="242"/>
      <c r="D154" s="50"/>
      <c r="E154" s="248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49" customFormat="1" x14ac:dyDescent="0.2">
      <c r="A155" s="246"/>
      <c r="B155" s="233"/>
      <c r="C155" s="242"/>
      <c r="D155" s="50"/>
      <c r="E155" s="248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49" customFormat="1" x14ac:dyDescent="0.2">
      <c r="A156" s="246"/>
      <c r="B156" s="233"/>
      <c r="C156" s="242"/>
      <c r="D156" s="50"/>
      <c r="E156" s="248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49" customFormat="1" x14ac:dyDescent="0.2">
      <c r="A157" s="246"/>
      <c r="B157" s="233"/>
      <c r="C157" s="242"/>
      <c r="D157" s="50"/>
      <c r="E157" s="248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49" customFormat="1" x14ac:dyDescent="0.2">
      <c r="A158" s="246"/>
      <c r="B158" s="233"/>
      <c r="C158" s="242"/>
      <c r="D158" s="50"/>
      <c r="E158" s="248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49" customFormat="1" x14ac:dyDescent="0.2">
      <c r="A159" s="246"/>
      <c r="B159" s="233"/>
      <c r="C159" s="242"/>
      <c r="D159" s="50"/>
      <c r="E159" s="248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49" customFormat="1" x14ac:dyDescent="0.2">
      <c r="A160" s="246"/>
      <c r="B160" s="233"/>
      <c r="C160" s="242"/>
      <c r="D160" s="50"/>
      <c r="E160" s="248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49" customFormat="1" x14ac:dyDescent="0.2">
      <c r="A161" s="246"/>
      <c r="B161" s="233"/>
      <c r="C161" s="242"/>
      <c r="D161" s="50"/>
      <c r="E161" s="248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49" customFormat="1" x14ac:dyDescent="0.2">
      <c r="A162" s="246"/>
      <c r="B162" s="233"/>
      <c r="C162" s="242"/>
      <c r="D162" s="50"/>
      <c r="E162" s="248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49" customFormat="1" x14ac:dyDescent="0.2">
      <c r="A163" s="246"/>
      <c r="B163" s="233"/>
      <c r="C163" s="242"/>
      <c r="D163" s="50"/>
      <c r="E163" s="248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49" customFormat="1" x14ac:dyDescent="0.2">
      <c r="A164" s="246"/>
      <c r="B164" s="233"/>
      <c r="C164" s="242"/>
      <c r="D164" s="50"/>
      <c r="E164" s="248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49" customFormat="1" x14ac:dyDescent="0.2">
      <c r="A165" s="246"/>
      <c r="B165" s="233"/>
      <c r="C165" s="242"/>
      <c r="D165" s="50"/>
      <c r="E165" s="248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49" customFormat="1" x14ac:dyDescent="0.2">
      <c r="A166" s="246"/>
      <c r="B166" s="233"/>
      <c r="C166" s="242"/>
      <c r="D166" s="50"/>
      <c r="E166" s="248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49" customFormat="1" x14ac:dyDescent="0.2">
      <c r="A167" s="246"/>
      <c r="B167" s="233"/>
      <c r="C167" s="242"/>
      <c r="D167" s="50"/>
      <c r="E167" s="248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49" customFormat="1" x14ac:dyDescent="0.2">
      <c r="A168" s="246"/>
      <c r="B168" s="233"/>
      <c r="C168" s="242"/>
      <c r="D168" s="50"/>
      <c r="E168" s="248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49" customFormat="1" x14ac:dyDescent="0.2">
      <c r="A169" s="246"/>
      <c r="B169" s="233"/>
      <c r="C169" s="242"/>
      <c r="D169" s="50"/>
      <c r="E169" s="248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49" customFormat="1" x14ac:dyDescent="0.2">
      <c r="A170" s="246"/>
      <c r="B170" s="233"/>
      <c r="C170" s="242"/>
      <c r="D170" s="50"/>
      <c r="E170" s="248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49" customFormat="1" x14ac:dyDescent="0.2">
      <c r="A171" s="246"/>
      <c r="B171" s="233"/>
      <c r="C171" s="242"/>
      <c r="D171" s="50"/>
      <c r="E171" s="248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49" customFormat="1" x14ac:dyDescent="0.2">
      <c r="A172" s="246"/>
      <c r="B172" s="233"/>
      <c r="C172" s="242"/>
      <c r="D172" s="50"/>
      <c r="E172" s="248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49" customFormat="1" x14ac:dyDescent="0.2">
      <c r="A173" s="246"/>
      <c r="B173" s="233"/>
      <c r="C173" s="242"/>
      <c r="D173" s="50"/>
      <c r="E173" s="248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49" customFormat="1" x14ac:dyDescent="0.2">
      <c r="A174" s="246"/>
      <c r="B174" s="233"/>
      <c r="C174" s="242"/>
      <c r="D174" s="50"/>
      <c r="E174" s="248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49" customFormat="1" x14ac:dyDescent="0.2">
      <c r="A175" s="246"/>
      <c r="B175" s="233"/>
      <c r="C175" s="242"/>
      <c r="D175" s="50"/>
      <c r="E175" s="248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49" customFormat="1" x14ac:dyDescent="0.2">
      <c r="A176" s="246"/>
      <c r="B176" s="233"/>
      <c r="C176" s="242"/>
      <c r="D176" s="50"/>
      <c r="E176" s="248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49" customFormat="1" x14ac:dyDescent="0.2">
      <c r="A177" s="246"/>
      <c r="B177" s="233"/>
      <c r="C177" s="242"/>
      <c r="D177" s="50"/>
      <c r="E177" s="248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49" customFormat="1" x14ac:dyDescent="0.2">
      <c r="A178" s="246"/>
      <c r="B178" s="233"/>
      <c r="C178" s="242"/>
      <c r="D178" s="50"/>
      <c r="E178" s="248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49" customFormat="1" x14ac:dyDescent="0.2">
      <c r="A179" s="246"/>
      <c r="B179" s="233"/>
      <c r="C179" s="242"/>
      <c r="D179" s="50"/>
      <c r="E179" s="248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49" customFormat="1" x14ac:dyDescent="0.2">
      <c r="A180" s="246"/>
      <c r="B180" s="233"/>
      <c r="C180" s="242"/>
      <c r="D180" s="50"/>
      <c r="E180" s="248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49" customFormat="1" x14ac:dyDescent="0.2">
      <c r="A181" s="246"/>
      <c r="B181" s="233"/>
      <c r="C181" s="242"/>
      <c r="D181" s="50"/>
      <c r="E181" s="248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49" customFormat="1" x14ac:dyDescent="0.2">
      <c r="A182" s="246"/>
      <c r="B182" s="233"/>
      <c r="C182" s="242"/>
      <c r="D182" s="50"/>
      <c r="E182" s="248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49" customFormat="1" x14ac:dyDescent="0.2">
      <c r="A183" s="246"/>
      <c r="B183" s="233"/>
      <c r="C183" s="242"/>
      <c r="D183" s="50"/>
      <c r="E183" s="248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49" customFormat="1" x14ac:dyDescent="0.2">
      <c r="A184" s="246"/>
      <c r="B184" s="233"/>
      <c r="C184" s="242"/>
      <c r="D184" s="50"/>
      <c r="E184" s="248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49" customFormat="1" x14ac:dyDescent="0.2">
      <c r="A185" s="246"/>
      <c r="B185" s="233"/>
      <c r="C185" s="242"/>
      <c r="D185" s="50"/>
      <c r="E185" s="248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49" customFormat="1" x14ac:dyDescent="0.2">
      <c r="A186" s="246"/>
      <c r="B186" s="233"/>
      <c r="C186" s="242"/>
      <c r="D186" s="50"/>
      <c r="E186" s="248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49" customFormat="1" x14ac:dyDescent="0.2">
      <c r="A187" s="246"/>
      <c r="B187" s="233"/>
      <c r="C187" s="242"/>
      <c r="D187" s="50"/>
      <c r="E187" s="248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49" customFormat="1" x14ac:dyDescent="0.2">
      <c r="A188" s="246"/>
      <c r="B188" s="233"/>
      <c r="C188" s="242"/>
      <c r="D188" s="50"/>
      <c r="E188" s="248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49" customFormat="1" x14ac:dyDescent="0.2">
      <c r="A189" s="246"/>
      <c r="B189" s="233"/>
      <c r="C189" s="242"/>
      <c r="D189" s="50"/>
      <c r="E189" s="248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49" customFormat="1" x14ac:dyDescent="0.2">
      <c r="A190" s="246"/>
      <c r="B190" s="233"/>
      <c r="C190" s="242"/>
      <c r="D190" s="50"/>
      <c r="E190" s="248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49" customFormat="1" x14ac:dyDescent="0.2">
      <c r="A191" s="246"/>
      <c r="B191" s="233"/>
      <c r="C191" s="242"/>
      <c r="D191" s="50"/>
      <c r="E191" s="248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49" customFormat="1" x14ac:dyDescent="0.2">
      <c r="A192" s="246"/>
      <c r="B192" s="233"/>
      <c r="C192" s="242"/>
      <c r="D192" s="50"/>
      <c r="E192" s="248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49" customFormat="1" x14ac:dyDescent="0.2">
      <c r="A193" s="246"/>
      <c r="B193" s="233"/>
      <c r="C193" s="242"/>
      <c r="D193" s="50"/>
      <c r="E193" s="248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49" customFormat="1" x14ac:dyDescent="0.2">
      <c r="A194" s="246"/>
      <c r="B194" s="233"/>
      <c r="C194" s="242"/>
      <c r="D194" s="50"/>
      <c r="E194" s="248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49" customFormat="1" x14ac:dyDescent="0.2">
      <c r="A195" s="246"/>
      <c r="B195" s="233"/>
      <c r="C195" s="242"/>
      <c r="D195" s="50"/>
      <c r="E195" s="248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49" customFormat="1" x14ac:dyDescent="0.2">
      <c r="A196" s="246"/>
      <c r="B196" s="233"/>
      <c r="C196" s="242"/>
      <c r="D196" s="50"/>
      <c r="E196" s="248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49" customFormat="1" x14ac:dyDescent="0.2">
      <c r="A197" s="246"/>
      <c r="B197" s="233"/>
      <c r="C197" s="242"/>
      <c r="D197" s="50"/>
      <c r="E197" s="248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49" customFormat="1" x14ac:dyDescent="0.2">
      <c r="A198" s="246"/>
      <c r="B198" s="233"/>
      <c r="C198" s="242"/>
      <c r="D198" s="50"/>
      <c r="E198" s="248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49" customFormat="1" x14ac:dyDescent="0.2">
      <c r="A199" s="246"/>
      <c r="B199" s="233"/>
      <c r="C199" s="242"/>
      <c r="D199" s="50"/>
      <c r="E199" s="248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49" customFormat="1" x14ac:dyDescent="0.2">
      <c r="A200" s="246"/>
      <c r="B200" s="233"/>
      <c r="C200" s="242"/>
      <c r="D200" s="50"/>
      <c r="E200" s="248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49" customFormat="1" x14ac:dyDescent="0.2">
      <c r="A201" s="246"/>
      <c r="B201" s="233"/>
      <c r="C201" s="242"/>
      <c r="D201" s="50"/>
      <c r="E201" s="248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49" customFormat="1" x14ac:dyDescent="0.2">
      <c r="A202" s="246"/>
      <c r="B202" s="233"/>
      <c r="C202" s="242"/>
      <c r="D202" s="50"/>
      <c r="E202" s="248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49" customFormat="1" x14ac:dyDescent="0.2">
      <c r="A203" s="246"/>
      <c r="B203" s="233"/>
      <c r="C203" s="242"/>
      <c r="D203" s="50"/>
      <c r="E203" s="248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49" customFormat="1" x14ac:dyDescent="0.2">
      <c r="A204" s="246"/>
      <c r="B204" s="233"/>
      <c r="C204" s="242"/>
      <c r="D204" s="50"/>
      <c r="E204" s="248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49" customFormat="1" x14ac:dyDescent="0.2">
      <c r="A205" s="246"/>
      <c r="B205" s="233"/>
      <c r="C205" s="242"/>
      <c r="D205" s="50"/>
      <c r="E205" s="248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49" customFormat="1" x14ac:dyDescent="0.2">
      <c r="A206" s="246"/>
      <c r="B206" s="233"/>
      <c r="C206" s="242"/>
      <c r="D206" s="50"/>
      <c r="E206" s="248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49" customFormat="1" x14ac:dyDescent="0.2">
      <c r="A207" s="246"/>
      <c r="B207" s="233"/>
      <c r="C207" s="242"/>
      <c r="D207" s="50"/>
      <c r="E207" s="248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49" customFormat="1" x14ac:dyDescent="0.2">
      <c r="A208" s="246"/>
      <c r="B208" s="233"/>
      <c r="C208" s="242"/>
      <c r="D208" s="50"/>
      <c r="E208" s="248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49" customFormat="1" x14ac:dyDescent="0.2">
      <c r="A209" s="246"/>
      <c r="B209" s="233"/>
      <c r="C209" s="242"/>
      <c r="D209" s="50"/>
      <c r="E209" s="248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49" customFormat="1" x14ac:dyDescent="0.2">
      <c r="A210" s="246"/>
      <c r="B210" s="233"/>
      <c r="C210" s="242"/>
      <c r="D210" s="50"/>
      <c r="E210" s="248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49" customFormat="1" x14ac:dyDescent="0.2">
      <c r="A211" s="246"/>
      <c r="B211" s="233"/>
      <c r="C211" s="242"/>
      <c r="D211" s="50"/>
      <c r="E211" s="248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49" customFormat="1" x14ac:dyDescent="0.2">
      <c r="A212" s="246"/>
      <c r="B212" s="233"/>
      <c r="C212" s="242"/>
      <c r="D212" s="50"/>
      <c r="E212" s="248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49" customFormat="1" x14ac:dyDescent="0.2">
      <c r="A213" s="246"/>
      <c r="B213" s="233"/>
      <c r="C213" s="242"/>
      <c r="D213" s="50"/>
      <c r="E213" s="248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49" customFormat="1" x14ac:dyDescent="0.2">
      <c r="A214" s="246"/>
      <c r="B214" s="233"/>
      <c r="C214" s="242"/>
      <c r="D214" s="50"/>
      <c r="E214" s="248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49" customFormat="1" x14ac:dyDescent="0.2">
      <c r="A215" s="246"/>
      <c r="B215" s="233"/>
      <c r="C215" s="242"/>
      <c r="D215" s="50"/>
      <c r="E215" s="248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49" customFormat="1" x14ac:dyDescent="0.2">
      <c r="A216" s="246"/>
      <c r="B216" s="233"/>
      <c r="C216" s="242"/>
      <c r="D216" s="50"/>
      <c r="E216" s="248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49" customFormat="1" x14ac:dyDescent="0.2">
      <c r="A217" s="246"/>
      <c r="B217" s="233"/>
      <c r="C217" s="242"/>
      <c r="D217" s="50"/>
      <c r="E217" s="248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49" customFormat="1" x14ac:dyDescent="0.2">
      <c r="A218" s="246"/>
      <c r="B218" s="233"/>
      <c r="C218" s="242"/>
      <c r="D218" s="50"/>
      <c r="E218" s="248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49" customFormat="1" x14ac:dyDescent="0.2">
      <c r="A219" s="246"/>
      <c r="B219" s="233"/>
      <c r="C219" s="242"/>
      <c r="D219" s="50"/>
      <c r="E219" s="248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49" customFormat="1" x14ac:dyDescent="0.2">
      <c r="A220" s="246"/>
      <c r="B220" s="233"/>
      <c r="C220" s="242"/>
      <c r="D220" s="50"/>
      <c r="E220" s="248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49" customFormat="1" x14ac:dyDescent="0.2">
      <c r="A221" s="246"/>
      <c r="B221" s="233"/>
      <c r="C221" s="242"/>
      <c r="D221" s="50"/>
      <c r="E221" s="248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49" customFormat="1" x14ac:dyDescent="0.2">
      <c r="A222" s="246"/>
      <c r="B222" s="233"/>
      <c r="C222" s="242"/>
      <c r="D222" s="50"/>
      <c r="E222" s="248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49" customFormat="1" x14ac:dyDescent="0.2">
      <c r="A223" s="246"/>
      <c r="B223" s="233"/>
      <c r="C223" s="242"/>
      <c r="D223" s="50"/>
      <c r="E223" s="248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49" customFormat="1" x14ac:dyDescent="0.2">
      <c r="A224" s="246"/>
      <c r="B224" s="233"/>
      <c r="C224" s="242"/>
      <c r="D224" s="50"/>
      <c r="E224" s="248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49" customFormat="1" x14ac:dyDescent="0.2">
      <c r="A225" s="246"/>
      <c r="B225" s="233"/>
      <c r="C225" s="242"/>
      <c r="D225" s="50"/>
      <c r="E225" s="248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49" customFormat="1" x14ac:dyDescent="0.2">
      <c r="A226" s="246"/>
      <c r="B226" s="233"/>
      <c r="C226" s="242"/>
      <c r="D226" s="50"/>
      <c r="E226" s="248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49" customFormat="1" x14ac:dyDescent="0.2">
      <c r="A227" s="246"/>
      <c r="B227" s="233"/>
      <c r="C227" s="242"/>
      <c r="D227" s="50"/>
      <c r="E227" s="248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49" customFormat="1" x14ac:dyDescent="0.2">
      <c r="A228" s="246"/>
      <c r="B228" s="233"/>
      <c r="C228" s="242"/>
      <c r="D228" s="50"/>
      <c r="E228" s="248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49" customFormat="1" x14ac:dyDescent="0.2">
      <c r="A229" s="246"/>
      <c r="B229" s="233"/>
      <c r="C229" s="242"/>
      <c r="D229" s="50"/>
      <c r="E229" s="248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49" customFormat="1" x14ac:dyDescent="0.2">
      <c r="A230" s="246"/>
      <c r="B230" s="233"/>
      <c r="C230" s="242"/>
      <c r="D230" s="50"/>
      <c r="E230" s="248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49" customFormat="1" x14ac:dyDescent="0.2">
      <c r="A231" s="246"/>
      <c r="B231" s="233"/>
      <c r="C231" s="242"/>
      <c r="D231" s="50"/>
      <c r="E231" s="248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49" customFormat="1" x14ac:dyDescent="0.2">
      <c r="A232" s="246"/>
      <c r="B232" s="233"/>
      <c r="C232" s="242"/>
      <c r="D232" s="50"/>
      <c r="E232" s="248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49" customFormat="1" x14ac:dyDescent="0.2">
      <c r="A233" s="246"/>
      <c r="B233" s="233"/>
      <c r="C233" s="242"/>
      <c r="D233" s="50"/>
      <c r="E233" s="248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49" customFormat="1" x14ac:dyDescent="0.2">
      <c r="A234" s="246"/>
      <c r="B234" s="233"/>
      <c r="C234" s="242"/>
      <c r="D234" s="50"/>
      <c r="E234" s="248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49" customFormat="1" x14ac:dyDescent="0.2">
      <c r="A235" s="246"/>
      <c r="B235" s="233"/>
      <c r="C235" s="242"/>
      <c r="D235" s="50"/>
      <c r="E235" s="248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49" customFormat="1" x14ac:dyDescent="0.2">
      <c r="A236" s="246"/>
      <c r="B236" s="233"/>
      <c r="C236" s="242"/>
      <c r="D236" s="50"/>
      <c r="E236" s="248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49" customFormat="1" x14ac:dyDescent="0.2">
      <c r="A237" s="246"/>
      <c r="B237" s="233"/>
      <c r="C237" s="242"/>
      <c r="D237" s="50"/>
      <c r="E237" s="248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49" customFormat="1" x14ac:dyDescent="0.2">
      <c r="A238" s="246"/>
      <c r="B238" s="233"/>
      <c r="C238" s="242"/>
      <c r="D238" s="50"/>
      <c r="E238" s="248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49" customFormat="1" x14ac:dyDescent="0.2">
      <c r="A239" s="246"/>
      <c r="B239" s="233"/>
      <c r="C239" s="242"/>
      <c r="D239" s="50"/>
      <c r="E239" s="248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49" customFormat="1" x14ac:dyDescent="0.2">
      <c r="A240" s="246"/>
      <c r="B240" s="233"/>
      <c r="C240" s="242"/>
      <c r="D240" s="50"/>
      <c r="E240" s="248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49" customFormat="1" x14ac:dyDescent="0.2">
      <c r="A241" s="246"/>
      <c r="B241" s="233"/>
      <c r="C241" s="242"/>
      <c r="D241" s="50"/>
      <c r="E241" s="248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49" customFormat="1" x14ac:dyDescent="0.2">
      <c r="A242" s="246"/>
      <c r="B242" s="233"/>
      <c r="C242" s="242"/>
      <c r="D242" s="50"/>
      <c r="E242" s="248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49" customFormat="1" x14ac:dyDescent="0.2">
      <c r="A243" s="246"/>
      <c r="B243" s="233"/>
      <c r="C243" s="242"/>
      <c r="D243" s="50"/>
      <c r="E243" s="248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49" customFormat="1" x14ac:dyDescent="0.2">
      <c r="A244" s="246"/>
      <c r="B244" s="233"/>
      <c r="C244" s="242"/>
      <c r="D244" s="50"/>
      <c r="E244" s="248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49" customFormat="1" x14ac:dyDescent="0.2">
      <c r="A245" s="246"/>
      <c r="B245" s="233"/>
      <c r="C245" s="242"/>
      <c r="D245" s="50"/>
      <c r="E245" s="248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49" customFormat="1" x14ac:dyDescent="0.2">
      <c r="A246" s="246"/>
      <c r="B246" s="233"/>
      <c r="C246" s="242"/>
      <c r="D246" s="50"/>
      <c r="E246" s="248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49" customFormat="1" x14ac:dyDescent="0.2">
      <c r="A247" s="246"/>
      <c r="B247" s="233"/>
      <c r="C247" s="242"/>
      <c r="D247" s="50"/>
      <c r="E247" s="248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49" customFormat="1" x14ac:dyDescent="0.2">
      <c r="A248" s="246"/>
      <c r="B248" s="233"/>
      <c r="C248" s="242"/>
      <c r="D248" s="50"/>
      <c r="E248" s="248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49" customFormat="1" x14ac:dyDescent="0.2">
      <c r="A249" s="246"/>
      <c r="B249" s="233"/>
      <c r="C249" s="242"/>
      <c r="D249" s="50"/>
      <c r="E249" s="248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49" customFormat="1" x14ac:dyDescent="0.2">
      <c r="A250" s="246"/>
      <c r="B250" s="233"/>
      <c r="C250" s="242"/>
      <c r="D250" s="50"/>
      <c r="E250" s="248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49" customFormat="1" x14ac:dyDescent="0.2">
      <c r="A251" s="246"/>
      <c r="B251" s="233"/>
      <c r="C251" s="242"/>
      <c r="D251" s="50"/>
      <c r="E251" s="248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49" customFormat="1" x14ac:dyDescent="0.2">
      <c r="A252" s="246"/>
      <c r="B252" s="233"/>
      <c r="C252" s="242"/>
      <c r="D252" s="50"/>
      <c r="E252" s="248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49" customFormat="1" x14ac:dyDescent="0.2">
      <c r="A253" s="246"/>
      <c r="B253" s="233"/>
      <c r="C253" s="242"/>
      <c r="D253" s="50"/>
      <c r="E253" s="248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49" customFormat="1" x14ac:dyDescent="0.2">
      <c r="A254" s="246"/>
      <c r="B254" s="233"/>
      <c r="C254" s="242"/>
      <c r="D254" s="50"/>
      <c r="E254" s="248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49" customFormat="1" x14ac:dyDescent="0.2">
      <c r="A255" s="246"/>
      <c r="B255" s="233"/>
      <c r="C255" s="242"/>
      <c r="D255" s="50"/>
      <c r="E255" s="248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49" customFormat="1" x14ac:dyDescent="0.2">
      <c r="A256" s="246"/>
      <c r="B256" s="233"/>
      <c r="C256" s="242"/>
      <c r="D256" s="50"/>
      <c r="E256" s="248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49" customFormat="1" x14ac:dyDescent="0.2">
      <c r="A257" s="246"/>
      <c r="B257" s="233"/>
      <c r="C257" s="242"/>
      <c r="D257" s="50"/>
      <c r="E257" s="248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49" customFormat="1" x14ac:dyDescent="0.2">
      <c r="A258" s="246"/>
      <c r="B258" s="233"/>
      <c r="C258" s="242"/>
      <c r="D258" s="50"/>
      <c r="E258" s="248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49" customFormat="1" x14ac:dyDescent="0.2">
      <c r="A259" s="246"/>
      <c r="B259" s="233"/>
      <c r="C259" s="242"/>
      <c r="D259" s="50"/>
      <c r="E259" s="248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49" customFormat="1" x14ac:dyDescent="0.2">
      <c r="A260" s="246"/>
      <c r="B260" s="233"/>
      <c r="C260" s="242"/>
      <c r="D260" s="50"/>
      <c r="E260" s="248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49" customFormat="1" x14ac:dyDescent="0.2">
      <c r="A261" s="246"/>
      <c r="B261" s="233"/>
      <c r="C261" s="242"/>
      <c r="D261" s="50"/>
      <c r="E261" s="248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49" customFormat="1" x14ac:dyDescent="0.2">
      <c r="A262" s="246"/>
      <c r="B262" s="233"/>
      <c r="C262" s="242"/>
      <c r="D262" s="50"/>
      <c r="E262" s="248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49" customFormat="1" x14ac:dyDescent="0.2">
      <c r="A263" s="246"/>
      <c r="B263" s="233"/>
      <c r="C263" s="242"/>
      <c r="D263" s="50"/>
      <c r="E263" s="248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49" customFormat="1" x14ac:dyDescent="0.2">
      <c r="A264" s="246"/>
      <c r="B264" s="233"/>
      <c r="C264" s="242"/>
      <c r="D264" s="50"/>
      <c r="E264" s="248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49" customFormat="1" x14ac:dyDescent="0.2">
      <c r="A265" s="246"/>
      <c r="B265" s="233"/>
      <c r="C265" s="242"/>
      <c r="D265" s="50"/>
      <c r="E265" s="248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49" customFormat="1" x14ac:dyDescent="0.2">
      <c r="A266" s="246"/>
      <c r="B266" s="233"/>
      <c r="C266" s="242"/>
      <c r="D266" s="50"/>
      <c r="E266" s="248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49" customFormat="1" x14ac:dyDescent="0.2">
      <c r="A267" s="246"/>
      <c r="B267" s="233"/>
      <c r="C267" s="242"/>
      <c r="D267" s="50"/>
      <c r="E267" s="248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49" customFormat="1" x14ac:dyDescent="0.2">
      <c r="A268" s="246"/>
      <c r="B268" s="233"/>
      <c r="C268" s="242"/>
      <c r="D268" s="50"/>
      <c r="E268" s="248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49" customFormat="1" x14ac:dyDescent="0.2">
      <c r="A269" s="246"/>
      <c r="B269" s="233"/>
      <c r="C269" s="242"/>
      <c r="D269" s="50"/>
      <c r="E269" s="248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49" customFormat="1" x14ac:dyDescent="0.2">
      <c r="A270" s="246"/>
      <c r="B270" s="233"/>
      <c r="C270" s="242"/>
      <c r="D270" s="50"/>
      <c r="E270" s="248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49" customFormat="1" x14ac:dyDescent="0.2">
      <c r="A271" s="246"/>
      <c r="B271" s="233"/>
      <c r="C271" s="242"/>
      <c r="D271" s="50"/>
      <c r="E271" s="248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49" customFormat="1" x14ac:dyDescent="0.2">
      <c r="A272" s="246"/>
      <c r="B272" s="233"/>
      <c r="C272" s="242"/>
      <c r="D272" s="50"/>
      <c r="E272" s="248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49" customFormat="1" x14ac:dyDescent="0.2">
      <c r="A273" s="246"/>
      <c r="B273" s="233"/>
      <c r="C273" s="242"/>
      <c r="D273" s="50"/>
      <c r="E273" s="248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49" customFormat="1" x14ac:dyDescent="0.2">
      <c r="A274" s="246"/>
      <c r="B274" s="233"/>
      <c r="C274" s="242"/>
      <c r="D274" s="50"/>
      <c r="E274" s="248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49" customFormat="1" x14ac:dyDescent="0.2">
      <c r="A275" s="246"/>
      <c r="B275" s="233"/>
      <c r="C275" s="242"/>
      <c r="D275" s="50"/>
      <c r="E275" s="248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49" customFormat="1" x14ac:dyDescent="0.2">
      <c r="A276" s="246"/>
      <c r="B276" s="233"/>
      <c r="C276" s="242"/>
      <c r="D276" s="50"/>
      <c r="E276" s="248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49" customFormat="1" x14ac:dyDescent="0.2">
      <c r="A277" s="246"/>
      <c r="B277" s="233"/>
      <c r="C277" s="242"/>
      <c r="D277" s="50"/>
      <c r="E277" s="248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49" customFormat="1" x14ac:dyDescent="0.2">
      <c r="A278" s="246"/>
      <c r="B278" s="233"/>
      <c r="C278" s="242"/>
      <c r="D278" s="50"/>
      <c r="E278" s="248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49" customFormat="1" x14ac:dyDescent="0.2">
      <c r="A279" s="246"/>
      <c r="B279" s="233"/>
      <c r="C279" s="242"/>
      <c r="D279" s="50"/>
      <c r="E279" s="248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49" customFormat="1" x14ac:dyDescent="0.2">
      <c r="A280" s="246"/>
      <c r="B280" s="233"/>
      <c r="C280" s="242"/>
      <c r="D280" s="50"/>
      <c r="E280" s="248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49" customFormat="1" x14ac:dyDescent="0.2">
      <c r="A281" s="246"/>
      <c r="B281" s="233"/>
      <c r="C281" s="242"/>
      <c r="D281" s="50"/>
      <c r="E281" s="248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49" customFormat="1" x14ac:dyDescent="0.2">
      <c r="A282" s="246"/>
      <c r="B282" s="233"/>
      <c r="C282" s="242"/>
      <c r="D282" s="50"/>
      <c r="E282" s="248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49" customFormat="1" x14ac:dyDescent="0.2">
      <c r="A283" s="246"/>
      <c r="B283" s="233"/>
      <c r="C283" s="242"/>
      <c r="D283" s="50"/>
      <c r="E283" s="248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49" customFormat="1" x14ac:dyDescent="0.2">
      <c r="A284" s="246"/>
      <c r="B284" s="233"/>
      <c r="C284" s="242"/>
      <c r="D284" s="50"/>
      <c r="E284" s="248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49" customFormat="1" x14ac:dyDescent="0.2">
      <c r="A285" s="246"/>
      <c r="B285" s="233"/>
      <c r="C285" s="242"/>
      <c r="D285" s="50"/>
      <c r="E285" s="248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49" customFormat="1" x14ac:dyDescent="0.2">
      <c r="A286" s="246"/>
      <c r="B286" s="233"/>
      <c r="C286" s="242"/>
      <c r="D286" s="50"/>
      <c r="E286" s="248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49" customFormat="1" x14ac:dyDescent="0.2">
      <c r="A287" s="246"/>
      <c r="B287" s="233"/>
      <c r="C287" s="242"/>
      <c r="D287" s="50"/>
      <c r="E287" s="248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49" customFormat="1" x14ac:dyDescent="0.2">
      <c r="A288" s="246"/>
      <c r="B288" s="233"/>
      <c r="C288" s="242"/>
      <c r="D288" s="50"/>
      <c r="E288" s="248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49" customFormat="1" x14ac:dyDescent="0.2">
      <c r="A289" s="246"/>
      <c r="B289" s="233"/>
      <c r="C289" s="242"/>
      <c r="D289" s="50"/>
      <c r="E289" s="248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49" customFormat="1" x14ac:dyDescent="0.2">
      <c r="A290" s="246"/>
      <c r="B290" s="233"/>
      <c r="C290" s="242"/>
      <c r="D290" s="50"/>
      <c r="E290" s="248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49" customFormat="1" x14ac:dyDescent="0.2">
      <c r="A291" s="246"/>
      <c r="B291" s="233"/>
      <c r="C291" s="242"/>
      <c r="D291" s="50"/>
      <c r="E291" s="248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49" customFormat="1" x14ac:dyDescent="0.2">
      <c r="A292" s="246"/>
      <c r="B292" s="233"/>
      <c r="C292" s="242"/>
      <c r="D292" s="50"/>
      <c r="E292" s="248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49" customFormat="1" x14ac:dyDescent="0.2">
      <c r="A293" s="246"/>
      <c r="B293" s="233"/>
      <c r="C293" s="242"/>
      <c r="D293" s="50"/>
      <c r="E293" s="248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49" customFormat="1" x14ac:dyDescent="0.2">
      <c r="A294" s="246"/>
      <c r="B294" s="233"/>
      <c r="C294" s="242"/>
      <c r="D294" s="50"/>
      <c r="E294" s="248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49" customFormat="1" x14ac:dyDescent="0.2">
      <c r="A295" s="246"/>
      <c r="B295" s="233"/>
      <c r="C295" s="242"/>
      <c r="D295" s="50"/>
      <c r="E295" s="248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49" customFormat="1" x14ac:dyDescent="0.2">
      <c r="A296" s="246"/>
      <c r="B296" s="233"/>
      <c r="C296" s="242"/>
      <c r="D296" s="50"/>
      <c r="E296" s="248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49" customFormat="1" x14ac:dyDescent="0.2">
      <c r="A297" s="246"/>
      <c r="B297" s="233"/>
      <c r="C297" s="242"/>
      <c r="D297" s="50"/>
      <c r="E297" s="248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49" customFormat="1" x14ac:dyDescent="0.2">
      <c r="A298" s="246"/>
      <c r="B298" s="233"/>
      <c r="C298" s="242"/>
      <c r="D298" s="50"/>
      <c r="E298" s="248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49" customFormat="1" x14ac:dyDescent="0.2">
      <c r="A299" s="246"/>
      <c r="B299" s="233"/>
      <c r="C299" s="242"/>
      <c r="D299" s="50"/>
      <c r="E299" s="248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49" customFormat="1" x14ac:dyDescent="0.2">
      <c r="A300" s="246"/>
      <c r="B300" s="233"/>
      <c r="C300" s="242"/>
      <c r="D300" s="50"/>
      <c r="E300" s="248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49" customFormat="1" x14ac:dyDescent="0.2">
      <c r="A301" s="246"/>
      <c r="B301" s="233"/>
      <c r="C301" s="242"/>
      <c r="D301" s="50"/>
      <c r="E301" s="248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49" customFormat="1" x14ac:dyDescent="0.2">
      <c r="A302" s="246"/>
      <c r="B302" s="233"/>
      <c r="C302" s="242"/>
      <c r="D302" s="50"/>
      <c r="E302" s="248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49" customFormat="1" x14ac:dyDescent="0.2">
      <c r="A303" s="246"/>
      <c r="B303" s="233"/>
      <c r="C303" s="242"/>
      <c r="D303" s="50"/>
      <c r="E303" s="248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49" customFormat="1" x14ac:dyDescent="0.2">
      <c r="A304" s="246"/>
      <c r="B304" s="233"/>
      <c r="C304" s="242"/>
      <c r="D304" s="50"/>
      <c r="E304" s="248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49" customFormat="1" x14ac:dyDescent="0.2">
      <c r="A305" s="246"/>
      <c r="B305" s="233"/>
      <c r="C305" s="242"/>
      <c r="D305" s="50"/>
      <c r="E305" s="248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49" customFormat="1" x14ac:dyDescent="0.2">
      <c r="A306" s="246"/>
      <c r="B306" s="233"/>
      <c r="C306" s="242"/>
      <c r="D306" s="50"/>
      <c r="E306" s="248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49" customFormat="1" x14ac:dyDescent="0.2">
      <c r="A307" s="246"/>
      <c r="B307" s="233"/>
      <c r="C307" s="242"/>
      <c r="D307" s="50"/>
      <c r="E307" s="248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49" customFormat="1" x14ac:dyDescent="0.2">
      <c r="A308" s="246"/>
      <c r="B308" s="233"/>
      <c r="C308" s="242"/>
      <c r="D308" s="50"/>
      <c r="E308" s="248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49" customFormat="1" x14ac:dyDescent="0.2">
      <c r="A309" s="246"/>
      <c r="B309" s="233"/>
      <c r="C309" s="242"/>
      <c r="D309" s="50"/>
      <c r="E309" s="248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49" customFormat="1" x14ac:dyDescent="0.2">
      <c r="A310" s="246"/>
      <c r="B310" s="233"/>
      <c r="C310" s="242"/>
      <c r="D310" s="50"/>
      <c r="E310" s="248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49" customFormat="1" x14ac:dyDescent="0.2">
      <c r="A311" s="246"/>
      <c r="B311" s="233"/>
      <c r="C311" s="242"/>
      <c r="D311" s="50"/>
      <c r="E311" s="248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49" customFormat="1" x14ac:dyDescent="0.2">
      <c r="A312" s="246"/>
      <c r="B312" s="233"/>
      <c r="C312" s="242"/>
      <c r="D312" s="50"/>
      <c r="E312" s="248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49" customFormat="1" x14ac:dyDescent="0.2">
      <c r="A313" s="246"/>
      <c r="B313" s="233"/>
      <c r="C313" s="242"/>
      <c r="D313" s="50"/>
      <c r="E313" s="248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49" customFormat="1" x14ac:dyDescent="0.2">
      <c r="A314" s="246"/>
      <c r="B314" s="233"/>
      <c r="C314" s="242"/>
      <c r="D314" s="50"/>
      <c r="E314" s="248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49" customFormat="1" x14ac:dyDescent="0.2">
      <c r="A315" s="246"/>
      <c r="B315" s="233"/>
      <c r="C315" s="242"/>
      <c r="D315" s="50"/>
      <c r="E315" s="248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49" customFormat="1" x14ac:dyDescent="0.2">
      <c r="A316" s="246"/>
      <c r="B316" s="233"/>
      <c r="C316" s="242"/>
      <c r="D316" s="50"/>
      <c r="E316" s="248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49" customFormat="1" x14ac:dyDescent="0.2">
      <c r="A317" s="246"/>
      <c r="B317" s="233"/>
      <c r="C317" s="242"/>
      <c r="D317" s="50"/>
      <c r="E317" s="248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49" customFormat="1" x14ac:dyDescent="0.2">
      <c r="A318" s="246"/>
      <c r="B318" s="233"/>
      <c r="C318" s="242"/>
      <c r="D318" s="50"/>
      <c r="E318" s="248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49" customFormat="1" x14ac:dyDescent="0.2">
      <c r="A319" s="246"/>
      <c r="B319" s="233"/>
      <c r="C319" s="242"/>
      <c r="D319" s="50"/>
      <c r="E319" s="248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49" customFormat="1" x14ac:dyDescent="0.2">
      <c r="A320" s="246"/>
      <c r="B320" s="233"/>
      <c r="C320" s="242"/>
      <c r="D320" s="50"/>
      <c r="E320" s="248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49" customFormat="1" x14ac:dyDescent="0.2">
      <c r="A321" s="246"/>
      <c r="B321" s="233"/>
      <c r="C321" s="242"/>
      <c r="D321" s="50"/>
      <c r="E321" s="248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49" customFormat="1" x14ac:dyDescent="0.2">
      <c r="A322" s="246"/>
      <c r="B322" s="233"/>
      <c r="C322" s="242"/>
      <c r="D322" s="50"/>
      <c r="E322" s="248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49" customFormat="1" x14ac:dyDescent="0.2">
      <c r="A323" s="246"/>
      <c r="B323" s="233"/>
      <c r="C323" s="242"/>
      <c r="D323" s="50"/>
      <c r="E323" s="248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49" customFormat="1" x14ac:dyDescent="0.2">
      <c r="A324" s="246"/>
      <c r="B324" s="233"/>
      <c r="C324" s="242"/>
      <c r="D324" s="50"/>
      <c r="E324" s="248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49" customFormat="1" x14ac:dyDescent="0.2">
      <c r="A325" s="246"/>
      <c r="B325" s="233"/>
      <c r="C325" s="242"/>
      <c r="D325" s="50"/>
      <c r="E325" s="248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49" customFormat="1" x14ac:dyDescent="0.2">
      <c r="A326" s="246"/>
      <c r="B326" s="233"/>
      <c r="C326" s="242"/>
      <c r="D326" s="50"/>
      <c r="E326" s="248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49" customFormat="1" x14ac:dyDescent="0.2">
      <c r="A327" s="246"/>
      <c r="B327" s="233"/>
      <c r="C327" s="242"/>
      <c r="D327" s="50"/>
      <c r="E327" s="248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49" customFormat="1" x14ac:dyDescent="0.2">
      <c r="A328" s="246"/>
      <c r="B328" s="233"/>
      <c r="C328" s="242"/>
      <c r="D328" s="50"/>
      <c r="E328" s="248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49" customFormat="1" x14ac:dyDescent="0.2">
      <c r="A329" s="246"/>
      <c r="B329" s="233"/>
      <c r="C329" s="242"/>
      <c r="D329" s="50"/>
      <c r="E329" s="248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49" customFormat="1" x14ac:dyDescent="0.2">
      <c r="A330" s="246"/>
      <c r="B330" s="233"/>
      <c r="C330" s="242"/>
      <c r="D330" s="50"/>
      <c r="E330" s="248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49" customFormat="1" x14ac:dyDescent="0.2">
      <c r="A331" s="246"/>
      <c r="B331" s="233"/>
      <c r="C331" s="242"/>
      <c r="D331" s="50"/>
      <c r="E331" s="248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49" customFormat="1" x14ac:dyDescent="0.2">
      <c r="A332" s="246"/>
      <c r="B332" s="233"/>
      <c r="C332" s="242"/>
      <c r="D332" s="50"/>
      <c r="E332" s="248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49" customFormat="1" x14ac:dyDescent="0.2">
      <c r="A333" s="246"/>
      <c r="B333" s="233"/>
      <c r="C333" s="242"/>
      <c r="D333" s="50"/>
      <c r="E333" s="248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49" customFormat="1" x14ac:dyDescent="0.2">
      <c r="A334" s="246"/>
      <c r="B334" s="233"/>
      <c r="C334" s="242"/>
      <c r="D334" s="50"/>
      <c r="E334" s="248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49" customFormat="1" x14ac:dyDescent="0.2">
      <c r="A335" s="246"/>
      <c r="B335" s="233"/>
      <c r="C335" s="242"/>
      <c r="D335" s="50"/>
      <c r="E335" s="248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49" customFormat="1" x14ac:dyDescent="0.2">
      <c r="A336" s="246"/>
      <c r="B336" s="233"/>
      <c r="C336" s="242"/>
      <c r="D336" s="50"/>
      <c r="E336" s="248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49" customFormat="1" x14ac:dyDescent="0.2">
      <c r="A337" s="246"/>
      <c r="B337" s="233"/>
      <c r="C337" s="242"/>
      <c r="D337" s="50"/>
      <c r="E337" s="248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49" customFormat="1" x14ac:dyDescent="0.2">
      <c r="A338" s="246"/>
      <c r="B338" s="233"/>
      <c r="C338" s="242"/>
      <c r="D338" s="50"/>
      <c r="E338" s="248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49" customFormat="1" x14ac:dyDescent="0.2">
      <c r="A339" s="246"/>
      <c r="B339" s="233"/>
      <c r="C339" s="242"/>
      <c r="D339" s="50"/>
      <c r="E339" s="248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49" customFormat="1" x14ac:dyDescent="0.2">
      <c r="A340" s="246"/>
      <c r="B340" s="233"/>
      <c r="C340" s="242"/>
      <c r="D340" s="50"/>
      <c r="E340" s="248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49" customFormat="1" x14ac:dyDescent="0.2">
      <c r="A341" s="246"/>
      <c r="B341" s="233"/>
      <c r="C341" s="242"/>
      <c r="D341" s="50"/>
      <c r="E341" s="248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49" customFormat="1" x14ac:dyDescent="0.2">
      <c r="A342" s="246"/>
      <c r="B342" s="233"/>
      <c r="C342" s="242"/>
      <c r="D342" s="50"/>
      <c r="E342" s="248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49" customFormat="1" x14ac:dyDescent="0.2">
      <c r="A343" s="246"/>
      <c r="B343" s="233"/>
      <c r="C343" s="242"/>
      <c r="D343" s="50"/>
      <c r="E343" s="248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49" customFormat="1" x14ac:dyDescent="0.2">
      <c r="A344" s="246"/>
      <c r="B344" s="233"/>
      <c r="C344" s="242"/>
      <c r="D344" s="50"/>
      <c r="E344" s="248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49" customFormat="1" x14ac:dyDescent="0.2">
      <c r="A345" s="246"/>
      <c r="B345" s="233"/>
      <c r="C345" s="242"/>
      <c r="D345" s="50"/>
      <c r="E345" s="248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49" customFormat="1" x14ac:dyDescent="0.2">
      <c r="A346" s="246"/>
      <c r="B346" s="233"/>
      <c r="C346" s="242"/>
      <c r="D346" s="50"/>
      <c r="E346" s="248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49" customFormat="1" x14ac:dyDescent="0.2">
      <c r="A347" s="246"/>
      <c r="B347" s="233"/>
      <c r="C347" s="242"/>
      <c r="D347" s="50"/>
      <c r="E347" s="248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49" customFormat="1" x14ac:dyDescent="0.2">
      <c r="A348" s="246"/>
      <c r="B348" s="233"/>
      <c r="C348" s="242"/>
      <c r="D348" s="50"/>
      <c r="E348" s="248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49" customFormat="1" x14ac:dyDescent="0.2">
      <c r="A349" s="246"/>
      <c r="B349" s="233"/>
      <c r="C349" s="242"/>
      <c r="D349" s="50"/>
      <c r="E349" s="248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49" customFormat="1" x14ac:dyDescent="0.2">
      <c r="A350" s="246"/>
      <c r="B350" s="233"/>
      <c r="C350" s="242"/>
      <c r="D350" s="50"/>
      <c r="E350" s="248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49" customFormat="1" x14ac:dyDescent="0.2">
      <c r="A351" s="246"/>
      <c r="B351" s="233"/>
      <c r="C351" s="242"/>
      <c r="D351" s="50"/>
      <c r="E351" s="248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49" customFormat="1" x14ac:dyDescent="0.2">
      <c r="A352" s="246"/>
      <c r="B352" s="233"/>
      <c r="C352" s="242"/>
      <c r="D352" s="50"/>
      <c r="E352" s="248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49" customFormat="1" x14ac:dyDescent="0.2">
      <c r="A353" s="246"/>
      <c r="B353" s="233"/>
      <c r="C353" s="242"/>
      <c r="D353" s="50"/>
      <c r="E353" s="248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49" customFormat="1" x14ac:dyDescent="0.2">
      <c r="A354" s="246"/>
      <c r="B354" s="233"/>
      <c r="C354" s="242"/>
      <c r="D354" s="50"/>
      <c r="E354" s="248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49" customFormat="1" x14ac:dyDescent="0.2">
      <c r="A355" s="246"/>
      <c r="B355" s="233"/>
      <c r="C355" s="242"/>
      <c r="D355" s="50"/>
      <c r="E355" s="248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49" customFormat="1" x14ac:dyDescent="0.2">
      <c r="A356" s="246"/>
      <c r="B356" s="233"/>
      <c r="C356" s="242"/>
      <c r="D356" s="50"/>
      <c r="E356" s="248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49" customFormat="1" x14ac:dyDescent="0.2">
      <c r="A357" s="246"/>
      <c r="B357" s="233"/>
      <c r="C357" s="242"/>
      <c r="D357" s="50"/>
      <c r="E357" s="248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49" customFormat="1" x14ac:dyDescent="0.2">
      <c r="A358" s="246"/>
      <c r="B358" s="233"/>
      <c r="C358" s="242"/>
      <c r="D358" s="50"/>
      <c r="E358" s="248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49" customFormat="1" x14ac:dyDescent="0.2">
      <c r="A359" s="246"/>
      <c r="B359" s="233"/>
      <c r="C359" s="242"/>
      <c r="D359" s="50"/>
      <c r="E359" s="248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49" customFormat="1" x14ac:dyDescent="0.2">
      <c r="A360" s="246"/>
      <c r="B360" s="233"/>
      <c r="C360" s="242"/>
      <c r="D360" s="50"/>
      <c r="E360" s="248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49" customFormat="1" x14ac:dyDescent="0.2">
      <c r="A361" s="246"/>
      <c r="B361" s="233"/>
      <c r="C361" s="242"/>
      <c r="D361" s="50"/>
      <c r="E361" s="248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49" customFormat="1" x14ac:dyDescent="0.2">
      <c r="A362" s="246"/>
      <c r="B362" s="233"/>
      <c r="C362" s="242"/>
      <c r="D362" s="50"/>
      <c r="E362" s="248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49" customFormat="1" x14ac:dyDescent="0.2">
      <c r="A363" s="246"/>
      <c r="B363" s="233"/>
      <c r="C363" s="242"/>
      <c r="D363" s="50"/>
      <c r="E363" s="248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49" customFormat="1" x14ac:dyDescent="0.2">
      <c r="A364" s="246"/>
      <c r="B364" s="233"/>
      <c r="C364" s="242"/>
      <c r="D364" s="50"/>
      <c r="E364" s="248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49" customFormat="1" x14ac:dyDescent="0.2">
      <c r="A365" s="246"/>
      <c r="B365" s="233"/>
      <c r="C365" s="242"/>
      <c r="D365" s="50"/>
      <c r="E365" s="248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49" customFormat="1" x14ac:dyDescent="0.2">
      <c r="A366" s="246"/>
      <c r="B366" s="233"/>
      <c r="C366" s="242"/>
      <c r="D366" s="50"/>
      <c r="E366" s="248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49" customFormat="1" x14ac:dyDescent="0.2">
      <c r="A367" s="246"/>
      <c r="B367" s="233"/>
      <c r="C367" s="242"/>
      <c r="D367" s="50"/>
      <c r="E367" s="248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49" customFormat="1" x14ac:dyDescent="0.2">
      <c r="A368" s="246"/>
      <c r="B368" s="233"/>
      <c r="C368" s="242"/>
      <c r="D368" s="50"/>
      <c r="E368" s="248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49" customFormat="1" x14ac:dyDescent="0.2">
      <c r="A369" s="246"/>
      <c r="B369" s="233"/>
      <c r="C369" s="242"/>
      <c r="D369" s="50"/>
      <c r="E369" s="248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49" customFormat="1" x14ac:dyDescent="0.2">
      <c r="A370" s="246"/>
      <c r="B370" s="233"/>
      <c r="C370" s="242"/>
      <c r="D370" s="50"/>
      <c r="E370" s="248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49" customFormat="1" x14ac:dyDescent="0.2">
      <c r="A371" s="246"/>
      <c r="B371" s="233"/>
      <c r="C371" s="242"/>
      <c r="D371" s="50"/>
      <c r="E371" s="248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49" customFormat="1" x14ac:dyDescent="0.2">
      <c r="A372" s="246"/>
      <c r="B372" s="233"/>
      <c r="C372" s="242"/>
      <c r="D372" s="50"/>
      <c r="E372" s="248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49" customFormat="1" x14ac:dyDescent="0.2">
      <c r="A373" s="246"/>
      <c r="B373" s="233"/>
      <c r="C373" s="242"/>
      <c r="D373" s="50"/>
      <c r="E373" s="248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49" customFormat="1" x14ac:dyDescent="0.2">
      <c r="A374" s="246"/>
      <c r="B374" s="233"/>
      <c r="C374" s="242"/>
      <c r="D374" s="50"/>
      <c r="E374" s="248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49" customFormat="1" x14ac:dyDescent="0.2">
      <c r="A375" s="246"/>
      <c r="B375" s="233"/>
      <c r="C375" s="242"/>
      <c r="D375" s="50"/>
      <c r="E375" s="248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49" customFormat="1" x14ac:dyDescent="0.2">
      <c r="A376" s="246"/>
      <c r="B376" s="233"/>
      <c r="C376" s="242"/>
      <c r="D376" s="50"/>
      <c r="E376" s="248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49" customFormat="1" x14ac:dyDescent="0.2">
      <c r="A377" s="246"/>
      <c r="B377" s="233"/>
      <c r="C377" s="242"/>
      <c r="D377" s="50"/>
      <c r="E377" s="248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49" customFormat="1" x14ac:dyDescent="0.2">
      <c r="A378" s="246"/>
      <c r="B378" s="233"/>
      <c r="C378" s="242"/>
      <c r="D378" s="50"/>
      <c r="E378" s="248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49" customFormat="1" x14ac:dyDescent="0.2">
      <c r="A379" s="246"/>
      <c r="B379" s="233"/>
      <c r="C379" s="242"/>
      <c r="D379" s="50"/>
      <c r="E379" s="248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49" customFormat="1" x14ac:dyDescent="0.2">
      <c r="A380" s="246"/>
      <c r="B380" s="233"/>
      <c r="C380" s="242"/>
      <c r="D380" s="50"/>
      <c r="E380" s="248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49" customFormat="1" x14ac:dyDescent="0.2">
      <c r="A381" s="246"/>
      <c r="B381" s="233"/>
      <c r="C381" s="242"/>
      <c r="D381" s="50"/>
      <c r="E381" s="248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49" customFormat="1" x14ac:dyDescent="0.2">
      <c r="A382" s="246"/>
      <c r="B382" s="233"/>
      <c r="C382" s="242"/>
      <c r="D382" s="50"/>
      <c r="E382" s="248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49" customFormat="1" x14ac:dyDescent="0.2">
      <c r="A383" s="246"/>
      <c r="B383" s="233"/>
      <c r="C383" s="242"/>
      <c r="D383" s="50"/>
      <c r="E383" s="248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49" customFormat="1" x14ac:dyDescent="0.2">
      <c r="A384" s="246"/>
      <c r="B384" s="233"/>
      <c r="C384" s="242"/>
      <c r="D384" s="50"/>
      <c r="E384" s="248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49" customFormat="1" x14ac:dyDescent="0.2">
      <c r="A385" s="246"/>
      <c r="B385" s="233"/>
      <c r="C385" s="242"/>
      <c r="D385" s="50"/>
      <c r="E385" s="248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49" customFormat="1" x14ac:dyDescent="0.2">
      <c r="A386" s="246"/>
      <c r="B386" s="233"/>
      <c r="C386" s="242"/>
      <c r="D386" s="50"/>
      <c r="E386" s="248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49" customFormat="1" x14ac:dyDescent="0.2">
      <c r="A387" s="246"/>
      <c r="B387" s="233"/>
      <c r="C387" s="242"/>
      <c r="D387" s="50"/>
      <c r="E387" s="248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49" customFormat="1" x14ac:dyDescent="0.2">
      <c r="A388" s="246"/>
      <c r="B388" s="233"/>
      <c r="C388" s="242"/>
      <c r="D388" s="50"/>
      <c r="E388" s="248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49" customFormat="1" x14ac:dyDescent="0.2">
      <c r="A389" s="246"/>
      <c r="B389" s="233"/>
      <c r="C389" s="242"/>
      <c r="D389" s="50"/>
      <c r="E389" s="248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49" customFormat="1" x14ac:dyDescent="0.2">
      <c r="A390" s="246"/>
      <c r="B390" s="233"/>
      <c r="C390" s="242"/>
      <c r="D390" s="50"/>
      <c r="E390" s="248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49" customFormat="1" x14ac:dyDescent="0.2">
      <c r="A391" s="246"/>
      <c r="B391" s="233"/>
      <c r="C391" s="242"/>
      <c r="D391" s="50"/>
      <c r="E391" s="248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49" customFormat="1" x14ac:dyDescent="0.2">
      <c r="A392" s="246"/>
      <c r="B392" s="233"/>
      <c r="C392" s="242"/>
      <c r="D392" s="50"/>
      <c r="E392" s="248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49" customFormat="1" x14ac:dyDescent="0.2">
      <c r="A393" s="246"/>
      <c r="B393" s="233"/>
      <c r="C393" s="242"/>
      <c r="D393" s="50"/>
      <c r="E393" s="248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49" customFormat="1" x14ac:dyDescent="0.2">
      <c r="A394" s="246"/>
      <c r="B394" s="233"/>
      <c r="C394" s="242"/>
      <c r="D394" s="50"/>
      <c r="E394" s="248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49" customFormat="1" x14ac:dyDescent="0.2">
      <c r="A395" s="246"/>
      <c r="B395" s="233"/>
      <c r="C395" s="242"/>
      <c r="D395" s="50"/>
      <c r="E395" s="248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49" customFormat="1" x14ac:dyDescent="0.2">
      <c r="A396" s="246"/>
      <c r="B396" s="233"/>
      <c r="C396" s="242"/>
      <c r="D396" s="50"/>
      <c r="E396" s="248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49" customFormat="1" x14ac:dyDescent="0.2">
      <c r="A397" s="246"/>
      <c r="B397" s="233"/>
      <c r="C397" s="242"/>
      <c r="D397" s="50"/>
      <c r="E397" s="248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49" customFormat="1" x14ac:dyDescent="0.2">
      <c r="A398" s="246"/>
      <c r="B398" s="233"/>
      <c r="C398" s="242"/>
      <c r="D398" s="50"/>
      <c r="E398" s="248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49" customFormat="1" x14ac:dyDescent="0.2">
      <c r="A399" s="246"/>
      <c r="B399" s="233"/>
      <c r="C399" s="242"/>
      <c r="D399" s="50"/>
      <c r="E399" s="248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49" customFormat="1" x14ac:dyDescent="0.2">
      <c r="A400" s="246"/>
      <c r="B400" s="233"/>
      <c r="C400" s="242"/>
      <c r="D400" s="50"/>
      <c r="E400" s="248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49" customFormat="1" x14ac:dyDescent="0.2">
      <c r="A401" s="246"/>
      <c r="B401" s="233"/>
      <c r="C401" s="242"/>
      <c r="D401" s="50"/>
      <c r="E401" s="248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49" customFormat="1" x14ac:dyDescent="0.2">
      <c r="A402" s="246"/>
      <c r="B402" s="233"/>
      <c r="C402" s="242"/>
      <c r="D402" s="50"/>
      <c r="E402" s="248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49" customFormat="1" x14ac:dyDescent="0.2">
      <c r="A403" s="246"/>
      <c r="B403" s="233"/>
      <c r="C403" s="242"/>
      <c r="D403" s="50"/>
      <c r="E403" s="248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49" customFormat="1" x14ac:dyDescent="0.2">
      <c r="A404" s="246"/>
      <c r="B404" s="233"/>
      <c r="C404" s="242"/>
      <c r="D404" s="50"/>
      <c r="E404" s="248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49" customFormat="1" x14ac:dyDescent="0.2">
      <c r="A405" s="246"/>
      <c r="B405" s="233"/>
      <c r="C405" s="242"/>
      <c r="D405" s="50"/>
      <c r="E405" s="248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49" customFormat="1" x14ac:dyDescent="0.2">
      <c r="A406" s="246"/>
      <c r="B406" s="233"/>
      <c r="C406" s="242"/>
      <c r="D406" s="50"/>
      <c r="E406" s="248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49" customFormat="1" x14ac:dyDescent="0.2">
      <c r="A407" s="246"/>
      <c r="B407" s="233"/>
      <c r="C407" s="242"/>
      <c r="D407" s="50"/>
      <c r="E407" s="248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49" customFormat="1" x14ac:dyDescent="0.2">
      <c r="A408" s="246"/>
      <c r="B408" s="233"/>
      <c r="C408" s="242"/>
      <c r="D408" s="50"/>
      <c r="E408" s="248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49" customFormat="1" x14ac:dyDescent="0.2">
      <c r="A409" s="246"/>
      <c r="B409" s="233"/>
      <c r="C409" s="242"/>
      <c r="D409" s="50"/>
      <c r="E409" s="248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49" customFormat="1" x14ac:dyDescent="0.2">
      <c r="A410" s="246"/>
      <c r="B410" s="233"/>
      <c r="C410" s="242"/>
      <c r="D410" s="50"/>
      <c r="E410" s="248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49" customFormat="1" x14ac:dyDescent="0.2">
      <c r="A411" s="246"/>
      <c r="B411" s="233"/>
      <c r="C411" s="242"/>
      <c r="D411" s="50"/>
      <c r="E411" s="248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49" customFormat="1" x14ac:dyDescent="0.2">
      <c r="A412" s="246"/>
      <c r="B412" s="233"/>
      <c r="C412" s="242"/>
      <c r="D412" s="50"/>
      <c r="E412" s="248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49" customFormat="1" x14ac:dyDescent="0.2">
      <c r="A413" s="246"/>
      <c r="B413" s="233"/>
      <c r="C413" s="242"/>
      <c r="D413" s="50"/>
      <c r="E413" s="248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49" customFormat="1" x14ac:dyDescent="0.2">
      <c r="A414" s="246"/>
      <c r="B414" s="233"/>
      <c r="C414" s="242"/>
      <c r="D414" s="50"/>
      <c r="E414" s="248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49" customFormat="1" x14ac:dyDescent="0.2">
      <c r="A415" s="246"/>
      <c r="B415" s="233"/>
      <c r="C415" s="242"/>
      <c r="D415" s="50"/>
      <c r="E415" s="248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49" customFormat="1" x14ac:dyDescent="0.2">
      <c r="A416" s="246"/>
      <c r="B416" s="233"/>
      <c r="C416" s="242"/>
      <c r="D416" s="50"/>
      <c r="E416" s="248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49" customFormat="1" x14ac:dyDescent="0.2">
      <c r="A417" s="246"/>
      <c r="B417" s="233"/>
      <c r="C417" s="242"/>
      <c r="D417" s="50"/>
      <c r="E417" s="248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49" customFormat="1" x14ac:dyDescent="0.2">
      <c r="A418" s="246"/>
      <c r="B418" s="233"/>
      <c r="C418" s="242"/>
      <c r="D418" s="50"/>
      <c r="E418" s="248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49" customFormat="1" x14ac:dyDescent="0.2">
      <c r="A419" s="246"/>
      <c r="B419" s="233"/>
      <c r="C419" s="242"/>
      <c r="D419" s="50"/>
      <c r="E419" s="248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49" customFormat="1" x14ac:dyDescent="0.2">
      <c r="A420" s="246"/>
      <c r="B420" s="233"/>
      <c r="C420" s="242"/>
      <c r="D420" s="50"/>
      <c r="E420" s="248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49" customFormat="1" x14ac:dyDescent="0.2">
      <c r="A421" s="246"/>
      <c r="B421" s="233"/>
      <c r="C421" s="242"/>
      <c r="D421" s="50"/>
      <c r="E421" s="248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49" customFormat="1" x14ac:dyDescent="0.2">
      <c r="A422" s="246"/>
      <c r="B422" s="233"/>
      <c r="C422" s="242"/>
      <c r="D422" s="50"/>
      <c r="E422" s="248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49" customFormat="1" x14ac:dyDescent="0.2">
      <c r="A423" s="246"/>
      <c r="B423" s="233"/>
      <c r="C423" s="242"/>
      <c r="D423" s="50"/>
      <c r="E423" s="248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49" customFormat="1" x14ac:dyDescent="0.2">
      <c r="A424" s="246"/>
      <c r="B424" s="233"/>
      <c r="C424" s="242"/>
      <c r="D424" s="50"/>
      <c r="E424" s="248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49" customFormat="1" x14ac:dyDescent="0.2">
      <c r="A425" s="246"/>
      <c r="B425" s="233"/>
      <c r="C425" s="242"/>
      <c r="D425" s="50"/>
      <c r="E425" s="248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49" customFormat="1" x14ac:dyDescent="0.2">
      <c r="A426" s="246"/>
      <c r="B426" s="233"/>
      <c r="C426" s="242"/>
      <c r="D426" s="50"/>
      <c r="E426" s="248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49" customFormat="1" x14ac:dyDescent="0.2">
      <c r="A427" s="246"/>
      <c r="B427" s="233"/>
      <c r="C427" s="242"/>
      <c r="D427" s="50"/>
      <c r="E427" s="248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49" customFormat="1" x14ac:dyDescent="0.2">
      <c r="A428" s="246"/>
      <c r="B428" s="233"/>
      <c r="C428" s="242"/>
      <c r="D428" s="50"/>
      <c r="E428" s="248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49" customFormat="1" x14ac:dyDescent="0.2">
      <c r="A429" s="246"/>
      <c r="B429" s="233"/>
      <c r="C429" s="242"/>
      <c r="D429" s="50"/>
      <c r="E429" s="248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49" customFormat="1" x14ac:dyDescent="0.2">
      <c r="A430" s="246"/>
      <c r="B430" s="233"/>
      <c r="C430" s="242"/>
      <c r="D430" s="50"/>
      <c r="E430" s="248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49" customFormat="1" x14ac:dyDescent="0.2">
      <c r="A431" s="246"/>
      <c r="B431" s="233"/>
      <c r="C431" s="242"/>
      <c r="D431" s="50"/>
      <c r="E431" s="248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49" customFormat="1" x14ac:dyDescent="0.2">
      <c r="A432" s="246"/>
      <c r="B432" s="233"/>
      <c r="C432" s="242"/>
      <c r="D432" s="50"/>
      <c r="E432" s="248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49" customFormat="1" x14ac:dyDescent="0.2">
      <c r="A433" s="246"/>
      <c r="B433" s="233"/>
      <c r="C433" s="242"/>
      <c r="D433" s="50"/>
      <c r="E433" s="248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49" customFormat="1" x14ac:dyDescent="0.2">
      <c r="A434" s="246"/>
      <c r="B434" s="233"/>
      <c r="C434" s="242"/>
      <c r="D434" s="50"/>
      <c r="E434" s="248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49" customFormat="1" x14ac:dyDescent="0.2">
      <c r="A435" s="246"/>
      <c r="B435" s="233"/>
      <c r="C435" s="242"/>
      <c r="D435" s="50"/>
      <c r="E435" s="248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49" customFormat="1" x14ac:dyDescent="0.2">
      <c r="A436" s="246"/>
      <c r="B436" s="233"/>
      <c r="C436" s="242"/>
      <c r="D436" s="50"/>
      <c r="E436" s="248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49" customFormat="1" x14ac:dyDescent="0.2">
      <c r="A437" s="246"/>
      <c r="B437" s="233"/>
      <c r="C437" s="242"/>
      <c r="D437" s="50"/>
      <c r="E437" s="248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49" customFormat="1" x14ac:dyDescent="0.2">
      <c r="A438" s="246"/>
      <c r="B438" s="233"/>
      <c r="C438" s="242"/>
      <c r="D438" s="50"/>
      <c r="E438" s="248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49" customFormat="1" x14ac:dyDescent="0.2">
      <c r="A439" s="246"/>
      <c r="B439" s="233"/>
      <c r="C439" s="242"/>
      <c r="D439" s="50"/>
      <c r="E439" s="248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49" customFormat="1" x14ac:dyDescent="0.2">
      <c r="A440" s="246"/>
      <c r="B440" s="233"/>
      <c r="C440" s="242"/>
      <c r="D440" s="50"/>
      <c r="E440" s="248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49" customFormat="1" x14ac:dyDescent="0.2">
      <c r="A441" s="246"/>
      <c r="B441" s="233"/>
      <c r="C441" s="242"/>
      <c r="D441" s="50"/>
      <c r="E441" s="248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49" customFormat="1" x14ac:dyDescent="0.2">
      <c r="A442" s="246"/>
      <c r="B442" s="233"/>
      <c r="C442" s="242"/>
      <c r="D442" s="50"/>
      <c r="E442" s="248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49" customFormat="1" x14ac:dyDescent="0.2">
      <c r="A443" s="246"/>
      <c r="B443" s="233"/>
      <c r="C443" s="242"/>
      <c r="D443" s="50"/>
      <c r="E443" s="248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49" customFormat="1" x14ac:dyDescent="0.2">
      <c r="A444" s="246"/>
      <c r="B444" s="233"/>
      <c r="C444" s="242"/>
      <c r="D444" s="50"/>
      <c r="E444" s="248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49" customFormat="1" x14ac:dyDescent="0.2">
      <c r="A445" s="246"/>
      <c r="B445" s="233"/>
      <c r="C445" s="242"/>
      <c r="D445" s="50"/>
      <c r="E445" s="248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49" customFormat="1" x14ac:dyDescent="0.2">
      <c r="A446" s="246"/>
      <c r="B446" s="233"/>
      <c r="C446" s="242"/>
      <c r="D446" s="50"/>
      <c r="E446" s="248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49" customFormat="1" x14ac:dyDescent="0.2">
      <c r="A447" s="246"/>
      <c r="B447" s="233"/>
      <c r="C447" s="242"/>
      <c r="D447" s="50"/>
      <c r="E447" s="248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49" customFormat="1" x14ac:dyDescent="0.2">
      <c r="A448" s="246"/>
      <c r="B448" s="233"/>
      <c r="C448" s="242"/>
      <c r="D448" s="50"/>
      <c r="E448" s="248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49" customFormat="1" x14ac:dyDescent="0.2">
      <c r="A449" s="246"/>
      <c r="B449" s="233"/>
      <c r="C449" s="242"/>
      <c r="D449" s="50"/>
      <c r="E449" s="248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49" customFormat="1" x14ac:dyDescent="0.2">
      <c r="A450" s="246"/>
      <c r="B450" s="233"/>
      <c r="C450" s="242"/>
      <c r="D450" s="50"/>
      <c r="E450" s="248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49" customFormat="1" x14ac:dyDescent="0.2">
      <c r="A451" s="246"/>
      <c r="B451" s="233"/>
      <c r="C451" s="242"/>
      <c r="D451" s="50"/>
      <c r="E451" s="248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49" customFormat="1" x14ac:dyDescent="0.2">
      <c r="A452" s="246"/>
      <c r="B452" s="233"/>
      <c r="C452" s="242"/>
      <c r="D452" s="50"/>
      <c r="E452" s="248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49" customFormat="1" x14ac:dyDescent="0.2">
      <c r="A453" s="246"/>
      <c r="B453" s="233"/>
      <c r="C453" s="242"/>
      <c r="D453" s="50"/>
      <c r="E453" s="248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49" customFormat="1" x14ac:dyDescent="0.2">
      <c r="A454" s="246"/>
      <c r="B454" s="233"/>
      <c r="C454" s="242"/>
      <c r="D454" s="50"/>
      <c r="E454" s="248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49" customFormat="1" x14ac:dyDescent="0.2">
      <c r="A455" s="246"/>
      <c r="B455" s="233"/>
      <c r="C455" s="242"/>
      <c r="D455" s="50"/>
      <c r="E455" s="248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49" customFormat="1" x14ac:dyDescent="0.2">
      <c r="A456" s="246"/>
      <c r="B456" s="233"/>
      <c r="C456" s="242"/>
      <c r="D456" s="50"/>
      <c r="E456" s="248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49" customFormat="1" x14ac:dyDescent="0.2">
      <c r="A457" s="246"/>
      <c r="B457" s="233"/>
      <c r="C457" s="242"/>
      <c r="D457" s="50"/>
      <c r="E457" s="248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49" customFormat="1" x14ac:dyDescent="0.2">
      <c r="A458" s="246"/>
      <c r="B458" s="233"/>
      <c r="C458" s="242"/>
      <c r="D458" s="50"/>
      <c r="E458" s="248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49" customFormat="1" x14ac:dyDescent="0.2">
      <c r="A459" s="246"/>
      <c r="B459" s="233"/>
      <c r="C459" s="242"/>
      <c r="D459" s="50"/>
      <c r="E459" s="248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49" customFormat="1" x14ac:dyDescent="0.2">
      <c r="A460" s="246"/>
      <c r="B460" s="233"/>
      <c r="C460" s="242"/>
      <c r="D460" s="50"/>
      <c r="E460" s="248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49" customFormat="1" x14ac:dyDescent="0.2">
      <c r="A461" s="246"/>
      <c r="B461" s="233"/>
      <c r="C461" s="242"/>
      <c r="D461" s="50"/>
      <c r="E461" s="248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49" customFormat="1" x14ac:dyDescent="0.2">
      <c r="A462" s="246"/>
      <c r="B462" s="233"/>
      <c r="C462" s="242"/>
      <c r="D462" s="50"/>
      <c r="E462" s="248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49" customFormat="1" x14ac:dyDescent="0.2">
      <c r="A463" s="246"/>
      <c r="B463" s="233"/>
      <c r="C463" s="242"/>
      <c r="D463" s="50"/>
      <c r="E463" s="248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49" customFormat="1" x14ac:dyDescent="0.2">
      <c r="A464" s="246"/>
      <c r="B464" s="233"/>
      <c r="C464" s="242"/>
      <c r="D464" s="50"/>
      <c r="E464" s="248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49" customFormat="1" x14ac:dyDescent="0.2">
      <c r="A465" s="246"/>
      <c r="B465" s="233"/>
      <c r="C465" s="242"/>
      <c r="D465" s="50"/>
      <c r="E465" s="248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49" customFormat="1" x14ac:dyDescent="0.2">
      <c r="A466" s="246"/>
      <c r="B466" s="233"/>
      <c r="C466" s="242"/>
      <c r="D466" s="50"/>
      <c r="E466" s="248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49" customFormat="1" x14ac:dyDescent="0.2">
      <c r="A467" s="246"/>
      <c r="B467" s="233"/>
      <c r="C467" s="242"/>
      <c r="D467" s="50"/>
      <c r="E467" s="248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49" customFormat="1" x14ac:dyDescent="0.2">
      <c r="A468" s="246"/>
      <c r="B468" s="233"/>
      <c r="C468" s="242"/>
      <c r="D468" s="50"/>
      <c r="E468" s="248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49" customFormat="1" x14ac:dyDescent="0.2">
      <c r="A469" s="246"/>
      <c r="B469" s="233"/>
      <c r="C469" s="242"/>
      <c r="D469" s="50"/>
      <c r="E469" s="248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49" customFormat="1" x14ac:dyDescent="0.2">
      <c r="A470" s="246"/>
      <c r="B470" s="233"/>
      <c r="C470" s="242"/>
      <c r="D470" s="50"/>
      <c r="E470" s="248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49" customFormat="1" x14ac:dyDescent="0.2">
      <c r="A471" s="246"/>
      <c r="B471" s="233"/>
      <c r="C471" s="242"/>
      <c r="D471" s="50"/>
      <c r="E471" s="248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49" customFormat="1" x14ac:dyDescent="0.2">
      <c r="A472" s="246"/>
      <c r="B472" s="233"/>
      <c r="C472" s="242"/>
      <c r="D472" s="50"/>
      <c r="E472" s="248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49" customFormat="1" x14ac:dyDescent="0.2">
      <c r="A473" s="246"/>
      <c r="B473" s="233"/>
      <c r="C473" s="242"/>
      <c r="D473" s="50"/>
      <c r="E473" s="248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49" customFormat="1" x14ac:dyDescent="0.2">
      <c r="A474" s="246"/>
      <c r="B474" s="233"/>
      <c r="C474" s="242"/>
      <c r="D474" s="50"/>
      <c r="E474" s="248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49" customFormat="1" x14ac:dyDescent="0.2">
      <c r="A475" s="246"/>
      <c r="B475" s="233"/>
      <c r="C475" s="242"/>
      <c r="D475" s="50"/>
      <c r="E475" s="248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49" customFormat="1" x14ac:dyDescent="0.2">
      <c r="A476" s="246"/>
      <c r="B476" s="233"/>
      <c r="C476" s="242"/>
      <c r="D476" s="50"/>
      <c r="E476" s="248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49" customFormat="1" x14ac:dyDescent="0.2">
      <c r="A477" s="246"/>
      <c r="B477" s="233"/>
      <c r="C477" s="242"/>
      <c r="D477" s="50"/>
      <c r="E477" s="248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49" customFormat="1" x14ac:dyDescent="0.2">
      <c r="A478" s="246"/>
      <c r="B478" s="233"/>
      <c r="C478" s="242"/>
      <c r="D478" s="50"/>
      <c r="E478" s="248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49" customFormat="1" x14ac:dyDescent="0.2">
      <c r="A479" s="246"/>
      <c r="B479" s="233"/>
      <c r="C479" s="242"/>
      <c r="D479" s="50"/>
      <c r="E479" s="248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49" customFormat="1" x14ac:dyDescent="0.2">
      <c r="A480" s="246"/>
      <c r="B480" s="233"/>
      <c r="C480" s="242"/>
      <c r="D480" s="50"/>
      <c r="E480" s="248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49" customFormat="1" x14ac:dyDescent="0.2">
      <c r="A481" s="246"/>
      <c r="B481" s="233"/>
      <c r="C481" s="242"/>
      <c r="D481" s="50"/>
      <c r="E481" s="248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49" customFormat="1" x14ac:dyDescent="0.2">
      <c r="A482" s="246"/>
      <c r="B482" s="233"/>
      <c r="C482" s="242"/>
      <c r="D482" s="50"/>
      <c r="E482" s="248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49" customFormat="1" x14ac:dyDescent="0.2">
      <c r="A483" s="246"/>
      <c r="B483" s="233"/>
      <c r="C483" s="242"/>
      <c r="D483" s="50"/>
      <c r="E483" s="248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49" customFormat="1" x14ac:dyDescent="0.2">
      <c r="A484" s="246"/>
      <c r="B484" s="233"/>
      <c r="C484" s="242"/>
      <c r="D484" s="50"/>
      <c r="E484" s="248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49" customFormat="1" x14ac:dyDescent="0.2">
      <c r="A485" s="246"/>
      <c r="B485" s="233"/>
      <c r="C485" s="242"/>
      <c r="D485" s="50"/>
      <c r="E485" s="248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49" customFormat="1" x14ac:dyDescent="0.2">
      <c r="A486" s="246"/>
      <c r="B486" s="233"/>
      <c r="C486" s="242"/>
      <c r="D486" s="50"/>
      <c r="E486" s="248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49" customFormat="1" x14ac:dyDescent="0.2">
      <c r="A487" s="246"/>
      <c r="B487" s="233"/>
      <c r="C487" s="242"/>
      <c r="D487" s="50"/>
      <c r="E487" s="248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49" customFormat="1" x14ac:dyDescent="0.2">
      <c r="A488" s="246"/>
      <c r="B488" s="233"/>
      <c r="C488" s="242"/>
      <c r="D488" s="50"/>
      <c r="E488" s="248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49" customFormat="1" x14ac:dyDescent="0.2">
      <c r="A489" s="246"/>
      <c r="B489" s="233"/>
      <c r="C489" s="242"/>
      <c r="D489" s="50"/>
      <c r="E489" s="248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49" customFormat="1" x14ac:dyDescent="0.2">
      <c r="A490" s="246"/>
      <c r="B490" s="233"/>
      <c r="C490" s="242"/>
      <c r="D490" s="50"/>
      <c r="E490" s="248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49" customFormat="1" x14ac:dyDescent="0.2">
      <c r="A491" s="246"/>
      <c r="B491" s="233"/>
      <c r="C491" s="242"/>
      <c r="D491" s="50"/>
      <c r="E491" s="248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49" customFormat="1" x14ac:dyDescent="0.2">
      <c r="A492" s="246"/>
      <c r="B492" s="233"/>
      <c r="C492" s="242"/>
      <c r="D492" s="50"/>
      <c r="E492" s="248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49" customFormat="1" x14ac:dyDescent="0.2">
      <c r="A493" s="246"/>
      <c r="B493" s="233"/>
      <c r="C493" s="242"/>
      <c r="D493" s="50"/>
      <c r="E493" s="248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49" customFormat="1" x14ac:dyDescent="0.2">
      <c r="A494" s="246"/>
      <c r="B494" s="233"/>
      <c r="C494" s="242"/>
      <c r="D494" s="50"/>
      <c r="E494" s="248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49" customFormat="1" x14ac:dyDescent="0.2">
      <c r="A495" s="246"/>
      <c r="B495" s="233"/>
      <c r="C495" s="242"/>
      <c r="D495" s="50"/>
      <c r="E495" s="248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49" customFormat="1" x14ac:dyDescent="0.2">
      <c r="A496" s="246"/>
      <c r="B496" s="233"/>
      <c r="C496" s="242"/>
      <c r="D496" s="50"/>
      <c r="E496" s="248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49" customFormat="1" x14ac:dyDescent="0.2">
      <c r="A497" s="246"/>
      <c r="B497" s="233"/>
      <c r="C497" s="242"/>
      <c r="D497" s="50"/>
      <c r="E497" s="248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49" customFormat="1" x14ac:dyDescent="0.2">
      <c r="A498" s="246"/>
      <c r="B498" s="233"/>
      <c r="C498" s="242"/>
      <c r="D498" s="50"/>
      <c r="E498" s="248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49" customFormat="1" x14ac:dyDescent="0.2">
      <c r="A499" s="246"/>
      <c r="B499" s="233"/>
      <c r="C499" s="242"/>
      <c r="D499" s="50"/>
      <c r="E499" s="248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49" customFormat="1" x14ac:dyDescent="0.2">
      <c r="A500" s="246"/>
      <c r="B500" s="233"/>
      <c r="C500" s="242"/>
      <c r="D500" s="50"/>
      <c r="E500" s="248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49" customFormat="1" x14ac:dyDescent="0.2">
      <c r="A501" s="246"/>
      <c r="B501" s="233"/>
      <c r="C501" s="242"/>
      <c r="D501" s="50"/>
      <c r="E501" s="248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49" customFormat="1" x14ac:dyDescent="0.2">
      <c r="A502" s="246"/>
      <c r="B502" s="233"/>
      <c r="C502" s="242"/>
      <c r="D502" s="50"/>
      <c r="E502" s="248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49" customFormat="1" x14ac:dyDescent="0.2">
      <c r="A503" s="246"/>
      <c r="B503" s="233"/>
      <c r="C503" s="242"/>
      <c r="D503" s="50"/>
      <c r="E503" s="248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49" customFormat="1" x14ac:dyDescent="0.2">
      <c r="A504" s="246"/>
      <c r="B504" s="233"/>
      <c r="C504" s="242"/>
      <c r="D504" s="50"/>
      <c r="E504" s="248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49" customFormat="1" x14ac:dyDescent="0.2">
      <c r="A505" s="246"/>
      <c r="B505" s="233"/>
      <c r="C505" s="242"/>
      <c r="D505" s="50"/>
      <c r="E505" s="248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49" customFormat="1" x14ac:dyDescent="0.2">
      <c r="A506" s="246"/>
      <c r="B506" s="233"/>
      <c r="C506" s="242"/>
      <c r="D506" s="50"/>
      <c r="E506" s="248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49" customFormat="1" x14ac:dyDescent="0.2">
      <c r="A507" s="246"/>
      <c r="B507" s="233"/>
      <c r="C507" s="242"/>
      <c r="D507" s="50"/>
      <c r="E507" s="248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49" customFormat="1" x14ac:dyDescent="0.2">
      <c r="A508" s="246"/>
      <c r="B508" s="233"/>
      <c r="C508" s="242"/>
      <c r="D508" s="50"/>
      <c r="E508" s="248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49" customFormat="1" x14ac:dyDescent="0.2">
      <c r="A509" s="246"/>
      <c r="B509" s="233"/>
      <c r="C509" s="242"/>
      <c r="D509" s="50"/>
      <c r="E509" s="248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49" customFormat="1" x14ac:dyDescent="0.2">
      <c r="A510" s="246"/>
      <c r="B510" s="233"/>
      <c r="C510" s="242"/>
      <c r="D510" s="50"/>
      <c r="E510" s="248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49" customFormat="1" x14ac:dyDescent="0.2">
      <c r="A511" s="246"/>
      <c r="B511" s="233"/>
      <c r="C511" s="242"/>
      <c r="D511" s="50"/>
      <c r="E511" s="248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49" customFormat="1" x14ac:dyDescent="0.2">
      <c r="A512" s="246"/>
      <c r="B512" s="233"/>
      <c r="C512" s="242"/>
      <c r="D512" s="50"/>
      <c r="E512" s="248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49" customFormat="1" x14ac:dyDescent="0.2">
      <c r="A513" s="246"/>
      <c r="B513" s="233"/>
      <c r="C513" s="242"/>
      <c r="D513" s="50"/>
      <c r="E513" s="248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49" customFormat="1" x14ac:dyDescent="0.2">
      <c r="A514" s="246"/>
      <c r="B514" s="233"/>
      <c r="C514" s="242"/>
      <c r="D514" s="50"/>
      <c r="E514" s="248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49" customFormat="1" x14ac:dyDescent="0.2">
      <c r="A515" s="246"/>
      <c r="B515" s="233"/>
      <c r="C515" s="242"/>
      <c r="D515" s="50"/>
      <c r="E515" s="248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49" customFormat="1" x14ac:dyDescent="0.2">
      <c r="A516" s="246"/>
      <c r="B516" s="233"/>
      <c r="C516" s="242"/>
      <c r="D516" s="50"/>
      <c r="E516" s="248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49" customFormat="1" x14ac:dyDescent="0.2">
      <c r="A517" s="246"/>
      <c r="B517" s="233"/>
      <c r="C517" s="242"/>
      <c r="D517" s="50"/>
      <c r="E517" s="248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49" customFormat="1" x14ac:dyDescent="0.2">
      <c r="A518" s="246"/>
      <c r="B518" s="233"/>
      <c r="C518" s="242"/>
      <c r="D518" s="50"/>
      <c r="E518" s="248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49" customFormat="1" x14ac:dyDescent="0.2">
      <c r="A519" s="246"/>
      <c r="B519" s="233"/>
      <c r="C519" s="242"/>
      <c r="D519" s="50"/>
      <c r="E519" s="248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49" customFormat="1" x14ac:dyDescent="0.2">
      <c r="A520" s="246"/>
      <c r="B520" s="233"/>
      <c r="C520" s="242"/>
      <c r="D520" s="50"/>
      <c r="E520" s="248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49" customFormat="1" x14ac:dyDescent="0.2">
      <c r="A521" s="246"/>
      <c r="B521" s="233"/>
      <c r="C521" s="242"/>
      <c r="D521" s="50"/>
      <c r="E521" s="248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49" customFormat="1" x14ac:dyDescent="0.2">
      <c r="A522" s="246"/>
      <c r="B522" s="233"/>
      <c r="C522" s="242"/>
      <c r="D522" s="50"/>
      <c r="E522" s="248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49" customFormat="1" x14ac:dyDescent="0.2">
      <c r="A523" s="246"/>
      <c r="B523" s="233"/>
      <c r="C523" s="242"/>
      <c r="D523" s="50"/>
      <c r="E523" s="248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49" customFormat="1" x14ac:dyDescent="0.2">
      <c r="A524" s="246"/>
      <c r="B524" s="233"/>
      <c r="C524" s="242"/>
      <c r="D524" s="50"/>
      <c r="E524" s="248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49" customFormat="1" x14ac:dyDescent="0.2">
      <c r="A525" s="246"/>
      <c r="B525" s="233"/>
      <c r="C525" s="242"/>
      <c r="D525" s="50"/>
      <c r="E525" s="248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49" customFormat="1" x14ac:dyDescent="0.2">
      <c r="A526" s="246"/>
      <c r="B526" s="233"/>
      <c r="C526" s="242"/>
      <c r="D526" s="50"/>
      <c r="E526" s="248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49" customFormat="1" x14ac:dyDescent="0.2">
      <c r="A527" s="246"/>
      <c r="B527" s="233"/>
      <c r="C527" s="242"/>
      <c r="D527" s="50"/>
      <c r="E527" s="248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49" customFormat="1" x14ac:dyDescent="0.2">
      <c r="A528" s="246"/>
      <c r="B528" s="233"/>
      <c r="C528" s="242"/>
      <c r="D528" s="50"/>
      <c r="E528" s="248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49" customFormat="1" x14ac:dyDescent="0.2">
      <c r="A529" s="246"/>
      <c r="B529" s="233"/>
      <c r="C529" s="242"/>
      <c r="D529" s="50"/>
      <c r="E529" s="248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49" customFormat="1" x14ac:dyDescent="0.2">
      <c r="A530" s="246"/>
      <c r="B530" s="233"/>
      <c r="C530" s="242"/>
      <c r="D530" s="50"/>
      <c r="E530" s="248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49" customFormat="1" x14ac:dyDescent="0.2">
      <c r="A531" s="246"/>
      <c r="B531" s="233"/>
      <c r="C531" s="242"/>
      <c r="D531" s="50"/>
      <c r="E531" s="248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49" customFormat="1" x14ac:dyDescent="0.2">
      <c r="A532" s="246"/>
      <c r="B532" s="233"/>
      <c r="C532" s="242"/>
      <c r="D532" s="50"/>
      <c r="E532" s="248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49" customFormat="1" x14ac:dyDescent="0.2">
      <c r="A533" s="246"/>
      <c r="B533" s="233"/>
      <c r="C533" s="242"/>
      <c r="D533" s="50"/>
      <c r="E533" s="248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49" customFormat="1" x14ac:dyDescent="0.2">
      <c r="A534" s="246"/>
      <c r="B534" s="233"/>
      <c r="C534" s="242"/>
      <c r="D534" s="50"/>
      <c r="E534" s="248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49" customFormat="1" x14ac:dyDescent="0.2">
      <c r="A535" s="246"/>
      <c r="B535" s="233"/>
      <c r="C535" s="242"/>
      <c r="D535" s="50"/>
      <c r="E535" s="248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49" customFormat="1" x14ac:dyDescent="0.2">
      <c r="A536" s="246"/>
      <c r="B536" s="233"/>
      <c r="C536" s="242"/>
      <c r="D536" s="50"/>
      <c r="E536" s="248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49" customFormat="1" x14ac:dyDescent="0.2">
      <c r="A537" s="246"/>
      <c r="B537" s="233"/>
      <c r="C537" s="242"/>
      <c r="D537" s="50"/>
      <c r="E537" s="248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49" customFormat="1" x14ac:dyDescent="0.2">
      <c r="A538" s="246"/>
      <c r="B538" s="233"/>
      <c r="C538" s="242"/>
      <c r="D538" s="50"/>
      <c r="E538" s="248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49" customFormat="1" x14ac:dyDescent="0.2">
      <c r="A539" s="246"/>
      <c r="B539" s="233"/>
      <c r="C539" s="242"/>
      <c r="D539" s="50"/>
      <c r="E539" s="248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49" customFormat="1" x14ac:dyDescent="0.2">
      <c r="A540" s="246"/>
      <c r="B540" s="233"/>
      <c r="C540" s="242"/>
      <c r="D540" s="50"/>
      <c r="E540" s="248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49" customFormat="1" x14ac:dyDescent="0.2">
      <c r="A541" s="246"/>
      <c r="B541" s="233"/>
      <c r="C541" s="242"/>
      <c r="D541" s="50"/>
      <c r="E541" s="248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49" customFormat="1" x14ac:dyDescent="0.2">
      <c r="A542" s="246"/>
      <c r="B542" s="233"/>
      <c r="C542" s="242"/>
      <c r="D542" s="50"/>
      <c r="E542" s="248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49" customFormat="1" x14ac:dyDescent="0.2">
      <c r="A543" s="246"/>
      <c r="B543" s="233"/>
      <c r="C543" s="242"/>
      <c r="D543" s="50"/>
      <c r="E543" s="248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49" customFormat="1" x14ac:dyDescent="0.2">
      <c r="A544" s="246"/>
      <c r="B544" s="233"/>
      <c r="C544" s="242"/>
      <c r="D544" s="50"/>
      <c r="E544" s="248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49" customFormat="1" x14ac:dyDescent="0.2">
      <c r="A545" s="246"/>
      <c r="B545" s="233"/>
      <c r="C545" s="242"/>
      <c r="D545" s="50"/>
      <c r="E545" s="248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49" customFormat="1" x14ac:dyDescent="0.2">
      <c r="A546" s="246"/>
      <c r="B546" s="233"/>
      <c r="C546" s="242"/>
      <c r="D546" s="50"/>
      <c r="E546" s="248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49" customFormat="1" x14ac:dyDescent="0.2">
      <c r="A547" s="246"/>
      <c r="B547" s="233"/>
      <c r="C547" s="242"/>
      <c r="D547" s="50"/>
      <c r="E547" s="248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49" customFormat="1" x14ac:dyDescent="0.2">
      <c r="A548" s="246"/>
      <c r="B548" s="233"/>
      <c r="C548" s="242"/>
      <c r="D548" s="50"/>
      <c r="E548" s="248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49" customFormat="1" x14ac:dyDescent="0.2">
      <c r="A549" s="246"/>
      <c r="B549" s="233"/>
      <c r="C549" s="242"/>
      <c r="D549" s="50"/>
      <c r="E549" s="248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49" customFormat="1" x14ac:dyDescent="0.2">
      <c r="A550" s="246"/>
      <c r="B550" s="233"/>
      <c r="C550" s="242"/>
      <c r="D550" s="50"/>
      <c r="E550" s="248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49" customFormat="1" x14ac:dyDescent="0.2">
      <c r="A551" s="246"/>
      <c r="B551" s="233"/>
      <c r="C551" s="242"/>
      <c r="D551" s="50"/>
      <c r="E551" s="248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49" customFormat="1" x14ac:dyDescent="0.2">
      <c r="A552" s="246"/>
      <c r="B552" s="233"/>
      <c r="C552" s="242"/>
      <c r="D552" s="50"/>
      <c r="E552" s="248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49" customFormat="1" x14ac:dyDescent="0.2">
      <c r="A553" s="246"/>
      <c r="B553" s="233"/>
      <c r="C553" s="242"/>
      <c r="D553" s="50"/>
      <c r="E553" s="248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49" customFormat="1" x14ac:dyDescent="0.2">
      <c r="A554" s="246"/>
      <c r="B554" s="233"/>
      <c r="C554" s="242"/>
      <c r="D554" s="50"/>
      <c r="E554" s="248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49" customFormat="1" x14ac:dyDescent="0.2">
      <c r="A555" s="246"/>
      <c r="B555" s="233"/>
      <c r="C555" s="242"/>
      <c r="D555" s="50"/>
      <c r="E555" s="248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49" customFormat="1" x14ac:dyDescent="0.2">
      <c r="A556" s="246"/>
      <c r="B556" s="233"/>
      <c r="C556" s="242"/>
      <c r="D556" s="50"/>
      <c r="E556" s="248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49" customFormat="1" x14ac:dyDescent="0.2">
      <c r="A557" s="246"/>
      <c r="B557" s="233"/>
      <c r="C557" s="242"/>
      <c r="D557" s="50"/>
      <c r="E557" s="248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49" customFormat="1" x14ac:dyDescent="0.2">
      <c r="A558" s="246"/>
      <c r="B558" s="233"/>
      <c r="C558" s="242"/>
      <c r="D558" s="50"/>
      <c r="E558" s="248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49" customFormat="1" x14ac:dyDescent="0.2">
      <c r="A559" s="246"/>
      <c r="B559" s="233"/>
      <c r="C559" s="242"/>
      <c r="D559" s="50"/>
      <c r="E559" s="248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49" customFormat="1" x14ac:dyDescent="0.2">
      <c r="A560" s="246"/>
      <c r="B560" s="233"/>
      <c r="C560" s="242"/>
      <c r="D560" s="50"/>
      <c r="E560" s="248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49" customFormat="1" x14ac:dyDescent="0.2">
      <c r="A561" s="246"/>
      <c r="B561" s="233"/>
      <c r="C561" s="242"/>
      <c r="D561" s="50"/>
      <c r="E561" s="248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49" customFormat="1" x14ac:dyDescent="0.2">
      <c r="A562" s="246"/>
      <c r="B562" s="233"/>
      <c r="C562" s="242"/>
      <c r="D562" s="50"/>
      <c r="E562" s="248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49" customFormat="1" x14ac:dyDescent="0.2">
      <c r="A563" s="246"/>
      <c r="B563" s="233"/>
      <c r="C563" s="242"/>
      <c r="D563" s="50"/>
      <c r="E563" s="248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49" customFormat="1" x14ac:dyDescent="0.2">
      <c r="A564" s="246"/>
      <c r="B564" s="233"/>
      <c r="C564" s="242"/>
      <c r="D564" s="50"/>
      <c r="E564" s="248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49" customFormat="1" x14ac:dyDescent="0.2">
      <c r="A565" s="246"/>
      <c r="B565" s="233"/>
      <c r="C565" s="242"/>
      <c r="D565" s="50"/>
      <c r="E565" s="248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49" customFormat="1" x14ac:dyDescent="0.2">
      <c r="A566" s="246"/>
      <c r="B566" s="233"/>
      <c r="C566" s="242"/>
      <c r="D566" s="50"/>
      <c r="E566" s="248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49" customFormat="1" x14ac:dyDescent="0.2">
      <c r="A567" s="246"/>
      <c r="B567" s="233"/>
      <c r="C567" s="242"/>
      <c r="D567" s="50"/>
      <c r="E567" s="248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49" customFormat="1" x14ac:dyDescent="0.2">
      <c r="A568" s="246"/>
      <c r="B568" s="233"/>
      <c r="C568" s="242"/>
      <c r="D568" s="50"/>
      <c r="E568" s="248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49" customFormat="1" x14ac:dyDescent="0.2">
      <c r="A569" s="246"/>
      <c r="B569" s="233"/>
      <c r="C569" s="242"/>
      <c r="D569" s="50"/>
      <c r="E569" s="248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49" customFormat="1" x14ac:dyDescent="0.2">
      <c r="A570" s="246"/>
      <c r="B570" s="233"/>
      <c r="C570" s="242"/>
      <c r="D570" s="50"/>
      <c r="E570" s="248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49" customFormat="1" x14ac:dyDescent="0.2">
      <c r="A571" s="246"/>
      <c r="B571" s="233"/>
      <c r="C571" s="242"/>
      <c r="D571" s="50"/>
      <c r="E571" s="248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49" customFormat="1" x14ac:dyDescent="0.2">
      <c r="A572" s="246"/>
      <c r="B572" s="233"/>
      <c r="C572" s="242"/>
      <c r="D572" s="50"/>
      <c r="E572" s="248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49" customFormat="1" x14ac:dyDescent="0.2">
      <c r="A573" s="246"/>
      <c r="B573" s="233"/>
      <c r="C573" s="242"/>
      <c r="D573" s="50"/>
      <c r="E573" s="248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49" customFormat="1" x14ac:dyDescent="0.2">
      <c r="A574" s="246"/>
      <c r="B574" s="233"/>
      <c r="C574" s="242"/>
      <c r="D574" s="50"/>
      <c r="E574" s="248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49" customFormat="1" x14ac:dyDescent="0.2">
      <c r="A575" s="246"/>
      <c r="B575" s="233"/>
      <c r="C575" s="242"/>
      <c r="D575" s="50"/>
      <c r="E575" s="248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49" customFormat="1" x14ac:dyDescent="0.2">
      <c r="A576" s="246"/>
      <c r="B576" s="233"/>
      <c r="C576" s="242"/>
      <c r="D576" s="50"/>
      <c r="E576" s="248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49" customFormat="1" x14ac:dyDescent="0.2">
      <c r="A577" s="246"/>
      <c r="B577" s="233"/>
      <c r="C577" s="242"/>
      <c r="D577" s="50"/>
      <c r="E577" s="248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49" customFormat="1" x14ac:dyDescent="0.2">
      <c r="A578" s="246"/>
      <c r="B578" s="233"/>
      <c r="C578" s="242"/>
      <c r="D578" s="50"/>
      <c r="E578" s="248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49" customFormat="1" x14ac:dyDescent="0.2">
      <c r="A579" s="246"/>
      <c r="B579" s="233"/>
      <c r="C579" s="242"/>
      <c r="D579" s="50"/>
      <c r="E579" s="248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49" customFormat="1" x14ac:dyDescent="0.2">
      <c r="A580" s="246"/>
      <c r="B580" s="233"/>
      <c r="C580" s="242"/>
      <c r="D580" s="50"/>
      <c r="E580" s="248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49" customFormat="1" x14ac:dyDescent="0.2">
      <c r="A581" s="246"/>
      <c r="B581" s="233"/>
      <c r="C581" s="242"/>
      <c r="D581" s="50"/>
      <c r="E581" s="248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49" customFormat="1" x14ac:dyDescent="0.2">
      <c r="A582" s="246"/>
      <c r="B582" s="233"/>
      <c r="C582" s="242"/>
      <c r="D582" s="50"/>
      <c r="E582" s="248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49" customFormat="1" x14ac:dyDescent="0.2">
      <c r="A583" s="246"/>
      <c r="B583" s="233"/>
      <c r="C583" s="242"/>
      <c r="D583" s="50"/>
      <c r="E583" s="248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49" customFormat="1" x14ac:dyDescent="0.2">
      <c r="A584" s="246"/>
      <c r="B584" s="233"/>
      <c r="C584" s="242"/>
      <c r="D584" s="50"/>
      <c r="E584" s="248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49" customFormat="1" x14ac:dyDescent="0.2">
      <c r="A585" s="246"/>
      <c r="B585" s="233"/>
      <c r="C585" s="242"/>
      <c r="D585" s="50"/>
      <c r="E585" s="248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49" customFormat="1" x14ac:dyDescent="0.2">
      <c r="A586" s="246"/>
      <c r="B586" s="233"/>
      <c r="C586" s="242"/>
      <c r="D586" s="50"/>
      <c r="E586" s="248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49" customFormat="1" x14ac:dyDescent="0.2">
      <c r="A587" s="246"/>
      <c r="B587" s="233"/>
      <c r="C587" s="242"/>
      <c r="D587" s="50"/>
      <c r="E587" s="248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49" customFormat="1" x14ac:dyDescent="0.2">
      <c r="A588" s="246"/>
      <c r="B588" s="233"/>
      <c r="C588" s="242"/>
      <c r="D588" s="50"/>
      <c r="E588" s="248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49" customFormat="1" x14ac:dyDescent="0.2">
      <c r="A589" s="246"/>
      <c r="B589" s="233"/>
      <c r="C589" s="242"/>
      <c r="D589" s="50"/>
      <c r="E589" s="248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49" customFormat="1" x14ac:dyDescent="0.2">
      <c r="A590" s="246"/>
      <c r="B590" s="233"/>
      <c r="C590" s="242"/>
      <c r="D590" s="50"/>
      <c r="E590" s="248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49" customFormat="1" x14ac:dyDescent="0.2">
      <c r="A591" s="246"/>
      <c r="B591" s="233"/>
      <c r="C591" s="242"/>
      <c r="D591" s="50"/>
      <c r="E591" s="248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49" customFormat="1" x14ac:dyDescent="0.2">
      <c r="A592" s="246"/>
      <c r="B592" s="233"/>
      <c r="C592" s="242"/>
      <c r="D592" s="50"/>
      <c r="E592" s="248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49" customFormat="1" x14ac:dyDescent="0.2">
      <c r="A593" s="246"/>
      <c r="B593" s="233"/>
      <c r="C593" s="242"/>
      <c r="D593" s="50"/>
      <c r="E593" s="248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49" customFormat="1" x14ac:dyDescent="0.2">
      <c r="A594" s="246"/>
      <c r="B594" s="233"/>
      <c r="C594" s="242"/>
      <c r="D594" s="50"/>
      <c r="E594" s="248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49" customFormat="1" x14ac:dyDescent="0.2">
      <c r="A595" s="246"/>
      <c r="B595" s="233"/>
      <c r="C595" s="242"/>
      <c r="D595" s="50"/>
      <c r="E595" s="248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49" customFormat="1" x14ac:dyDescent="0.2">
      <c r="A596" s="246"/>
      <c r="B596" s="233"/>
      <c r="C596" s="242"/>
      <c r="D596" s="50"/>
      <c r="E596" s="248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49" customFormat="1" x14ac:dyDescent="0.2">
      <c r="A597" s="246"/>
      <c r="B597" s="233"/>
      <c r="C597" s="242"/>
      <c r="D597" s="50"/>
      <c r="E597" s="248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49" customFormat="1" x14ac:dyDescent="0.2">
      <c r="A598" s="246"/>
      <c r="B598" s="233"/>
      <c r="C598" s="242"/>
      <c r="D598" s="50"/>
      <c r="E598" s="248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49" customFormat="1" x14ac:dyDescent="0.2">
      <c r="A599" s="246"/>
      <c r="B599" s="233"/>
      <c r="C599" s="242"/>
      <c r="D599" s="50"/>
      <c r="E599" s="248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49" customFormat="1" x14ac:dyDescent="0.2">
      <c r="A600" s="246"/>
      <c r="B600" s="233"/>
      <c r="C600" s="242"/>
      <c r="D600" s="50"/>
      <c r="E600" s="248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49" customFormat="1" x14ac:dyDescent="0.2">
      <c r="A601" s="246"/>
      <c r="B601" s="233"/>
      <c r="C601" s="242"/>
      <c r="D601" s="50"/>
      <c r="E601" s="248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49" customFormat="1" x14ac:dyDescent="0.2">
      <c r="A602" s="246"/>
      <c r="B602" s="233"/>
      <c r="C602" s="242"/>
      <c r="D602" s="50"/>
      <c r="E602" s="248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49" customFormat="1" x14ac:dyDescent="0.2">
      <c r="A603" s="246"/>
      <c r="B603" s="233"/>
      <c r="C603" s="242"/>
      <c r="D603" s="50"/>
      <c r="E603" s="248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49" customFormat="1" x14ac:dyDescent="0.2">
      <c r="A604" s="246"/>
      <c r="B604" s="233"/>
      <c r="C604" s="242"/>
      <c r="D604" s="50"/>
      <c r="E604" s="248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49" customFormat="1" x14ac:dyDescent="0.2">
      <c r="A605" s="246"/>
      <c r="B605" s="233"/>
      <c r="C605" s="242"/>
      <c r="D605" s="50"/>
      <c r="E605" s="248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49" customFormat="1" x14ac:dyDescent="0.2">
      <c r="A606" s="246"/>
      <c r="B606" s="233"/>
      <c r="C606" s="242"/>
      <c r="D606" s="50"/>
      <c r="E606" s="248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49" customFormat="1" x14ac:dyDescent="0.2">
      <c r="A607" s="246"/>
      <c r="B607" s="233"/>
      <c r="C607" s="242"/>
      <c r="D607" s="50"/>
      <c r="E607" s="248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49" customFormat="1" x14ac:dyDescent="0.2">
      <c r="A608" s="246"/>
      <c r="B608" s="233"/>
      <c r="C608" s="242"/>
      <c r="D608" s="50"/>
      <c r="E608" s="248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49" customFormat="1" x14ac:dyDescent="0.2">
      <c r="A609" s="246"/>
      <c r="B609" s="233"/>
      <c r="C609" s="242"/>
      <c r="D609" s="50"/>
      <c r="E609" s="248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49" customFormat="1" x14ac:dyDescent="0.2">
      <c r="A610" s="246"/>
      <c r="B610" s="233"/>
      <c r="C610" s="242"/>
      <c r="D610" s="50"/>
      <c r="E610" s="248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49" customFormat="1" x14ac:dyDescent="0.2">
      <c r="A611" s="246"/>
      <c r="B611" s="233"/>
      <c r="C611" s="242"/>
      <c r="D611" s="50"/>
      <c r="E611" s="248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49" customFormat="1" x14ac:dyDescent="0.2">
      <c r="A612" s="246"/>
      <c r="B612" s="233"/>
      <c r="C612" s="242"/>
      <c r="D612" s="50"/>
      <c r="E612" s="248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49" customFormat="1" x14ac:dyDescent="0.2">
      <c r="A613" s="246"/>
      <c r="B613" s="233"/>
      <c r="C613" s="242"/>
      <c r="D613" s="50"/>
      <c r="E613" s="248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49" customFormat="1" x14ac:dyDescent="0.2">
      <c r="A614" s="246"/>
      <c r="B614" s="233"/>
      <c r="C614" s="242"/>
      <c r="D614" s="50"/>
      <c r="E614" s="248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49" customFormat="1" x14ac:dyDescent="0.2">
      <c r="A615" s="246"/>
      <c r="B615" s="233"/>
      <c r="C615" s="242"/>
      <c r="D615" s="50"/>
      <c r="E615" s="248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49" customFormat="1" x14ac:dyDescent="0.2">
      <c r="A616" s="246"/>
      <c r="B616" s="233"/>
      <c r="C616" s="242"/>
      <c r="D616" s="50"/>
      <c r="E616" s="248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49" customFormat="1" x14ac:dyDescent="0.2">
      <c r="A617" s="246"/>
      <c r="B617" s="233"/>
      <c r="C617" s="242"/>
      <c r="D617" s="50"/>
      <c r="E617" s="248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49" customFormat="1" x14ac:dyDescent="0.2">
      <c r="A618" s="246"/>
      <c r="B618" s="233"/>
      <c r="C618" s="242"/>
      <c r="D618" s="50"/>
      <c r="E618" s="248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49" customFormat="1" x14ac:dyDescent="0.2">
      <c r="A619" s="246"/>
      <c r="B619" s="233"/>
      <c r="C619" s="242"/>
      <c r="D619" s="50"/>
      <c r="E619" s="248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49" customFormat="1" x14ac:dyDescent="0.2">
      <c r="A620" s="246"/>
      <c r="B620" s="233"/>
      <c r="C620" s="242"/>
      <c r="D620" s="50"/>
      <c r="E620" s="248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49" customFormat="1" x14ac:dyDescent="0.2">
      <c r="A621" s="246"/>
      <c r="B621" s="233"/>
      <c r="C621" s="242"/>
      <c r="D621" s="50"/>
      <c r="E621" s="248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49" customFormat="1" x14ac:dyDescent="0.2">
      <c r="A622" s="246"/>
      <c r="B622" s="233"/>
      <c r="C622" s="242"/>
      <c r="D622" s="50"/>
      <c r="E622" s="248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49" customFormat="1" x14ac:dyDescent="0.2">
      <c r="A623" s="246"/>
      <c r="B623" s="233"/>
      <c r="C623" s="242"/>
      <c r="D623" s="50"/>
      <c r="E623" s="248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49" customFormat="1" x14ac:dyDescent="0.2">
      <c r="A624" s="246"/>
      <c r="B624" s="233"/>
      <c r="C624" s="242"/>
      <c r="D624" s="50"/>
      <c r="E624" s="248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49" customFormat="1" x14ac:dyDescent="0.2">
      <c r="A625" s="246"/>
      <c r="B625" s="233"/>
      <c r="C625" s="242"/>
      <c r="D625" s="50"/>
      <c r="E625" s="248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49" customFormat="1" x14ac:dyDescent="0.2">
      <c r="A626" s="246"/>
      <c r="B626" s="233"/>
      <c r="C626" s="242"/>
      <c r="D626" s="50"/>
      <c r="E626" s="248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49" customFormat="1" x14ac:dyDescent="0.2">
      <c r="A627" s="246"/>
      <c r="B627" s="233"/>
      <c r="C627" s="242"/>
      <c r="D627" s="50"/>
      <c r="E627" s="248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635"/>
  <sheetViews>
    <sheetView topLeftCell="A10" zoomScaleNormal="100" workbookViewId="0">
      <selection activeCell="K26" sqref="K26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31.28515625" style="242" bestFit="1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77</v>
      </c>
      <c r="B4" s="37"/>
      <c r="D4" s="218" t="s">
        <v>78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79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104</v>
      </c>
      <c r="B9" s="232">
        <v>45513</v>
      </c>
      <c r="C9" s="233" t="s">
        <v>82</v>
      </c>
      <c r="D9" s="234">
        <v>488893</v>
      </c>
      <c r="E9" s="235">
        <f>D9</f>
        <v>488893</v>
      </c>
      <c r="F9" s="236"/>
      <c r="G9" s="236"/>
      <c r="H9" s="236">
        <f>E9</f>
        <v>488893</v>
      </c>
    </row>
    <row r="10" spans="1:9" x14ac:dyDescent="0.2">
      <c r="A10" s="231" t="s">
        <v>104</v>
      </c>
      <c r="B10" s="237">
        <v>45541</v>
      </c>
      <c r="C10" s="233" t="s">
        <v>106</v>
      </c>
      <c r="D10" s="234">
        <v>12149</v>
      </c>
      <c r="E10" s="235">
        <f t="shared" ref="E10:E23" si="0">E9+D10</f>
        <v>501042</v>
      </c>
      <c r="F10" s="239"/>
      <c r="G10" s="236">
        <f t="shared" ref="G10:G23" si="1">G9+F10</f>
        <v>0</v>
      </c>
      <c r="H10" s="236">
        <f t="shared" ref="H10:H23" si="2">H9-F10+D10</f>
        <v>501042</v>
      </c>
    </row>
    <row r="11" spans="1:9" x14ac:dyDescent="0.2">
      <c r="A11" s="231" t="s">
        <v>104</v>
      </c>
      <c r="B11" s="232">
        <v>45579</v>
      </c>
      <c r="C11" s="233" t="s">
        <v>122</v>
      </c>
      <c r="D11" s="234">
        <v>171854.06</v>
      </c>
      <c r="E11" s="235">
        <f t="shared" si="0"/>
        <v>672896.06</v>
      </c>
      <c r="F11" s="239"/>
      <c r="G11" s="236">
        <f t="shared" si="1"/>
        <v>0</v>
      </c>
      <c r="H11" s="236">
        <f t="shared" si="2"/>
        <v>672896.06</v>
      </c>
    </row>
    <row r="12" spans="1:9" x14ac:dyDescent="0.2">
      <c r="A12" s="231" t="s">
        <v>104</v>
      </c>
      <c r="B12" s="232">
        <v>45590</v>
      </c>
      <c r="C12" s="233" t="s">
        <v>126</v>
      </c>
      <c r="D12" s="234">
        <v>28577.08</v>
      </c>
      <c r="E12" s="235">
        <f t="shared" si="0"/>
        <v>701473.14</v>
      </c>
      <c r="F12" s="239"/>
      <c r="G12" s="236">
        <f t="shared" si="1"/>
        <v>0</v>
      </c>
      <c r="H12" s="236">
        <f t="shared" si="2"/>
        <v>701473.14</v>
      </c>
    </row>
    <row r="13" spans="1:9" x14ac:dyDescent="0.2">
      <c r="A13" s="231" t="s">
        <v>138</v>
      </c>
      <c r="B13" s="232">
        <v>45618</v>
      </c>
      <c r="C13" s="233" t="s">
        <v>139</v>
      </c>
      <c r="D13" s="235"/>
      <c r="E13" s="235">
        <f t="shared" si="0"/>
        <v>701473.14</v>
      </c>
      <c r="F13" s="238">
        <v>266030.42</v>
      </c>
      <c r="G13" s="236">
        <f t="shared" si="1"/>
        <v>266030.42</v>
      </c>
      <c r="H13" s="236">
        <f t="shared" si="2"/>
        <v>435442.72000000003</v>
      </c>
      <c r="I13" s="239">
        <v>14001.6</v>
      </c>
    </row>
    <row r="14" spans="1:9" x14ac:dyDescent="0.2">
      <c r="A14" s="231" t="s">
        <v>104</v>
      </c>
      <c r="B14" s="232">
        <v>45618</v>
      </c>
      <c r="C14" s="233" t="s">
        <v>140</v>
      </c>
      <c r="D14" s="234">
        <v>21482.959999999999</v>
      </c>
      <c r="E14" s="235">
        <f t="shared" si="0"/>
        <v>722956.1</v>
      </c>
      <c r="F14" s="236"/>
      <c r="G14" s="236">
        <f t="shared" si="1"/>
        <v>266030.42</v>
      </c>
      <c r="H14" s="236">
        <f t="shared" si="2"/>
        <v>456925.68000000005</v>
      </c>
    </row>
    <row r="15" spans="1:9" x14ac:dyDescent="0.2">
      <c r="A15" s="231" t="s">
        <v>154</v>
      </c>
      <c r="B15" s="232">
        <v>45637</v>
      </c>
      <c r="C15" s="233" t="s">
        <v>155</v>
      </c>
      <c r="D15" s="235"/>
      <c r="E15" s="235">
        <f t="shared" si="0"/>
        <v>722956.1</v>
      </c>
      <c r="F15" s="238">
        <v>162253.95000000001</v>
      </c>
      <c r="G15" s="236">
        <f t="shared" si="1"/>
        <v>428284.37</v>
      </c>
      <c r="H15" s="236">
        <f t="shared" si="2"/>
        <v>294671.73000000004</v>
      </c>
      <c r="I15" s="239">
        <f>I13+8539.68</f>
        <v>22541.279999999999</v>
      </c>
    </row>
    <row r="16" spans="1:9" x14ac:dyDescent="0.2">
      <c r="A16" s="231" t="s">
        <v>104</v>
      </c>
      <c r="B16" s="232">
        <v>45637</v>
      </c>
      <c r="C16" s="233" t="s">
        <v>157</v>
      </c>
      <c r="D16" s="234">
        <v>0</v>
      </c>
      <c r="E16" s="235">
        <f t="shared" si="0"/>
        <v>722956.1</v>
      </c>
      <c r="F16" s="239"/>
      <c r="G16" s="236">
        <f t="shared" si="1"/>
        <v>428284.37</v>
      </c>
      <c r="H16" s="236">
        <f t="shared" si="2"/>
        <v>294671.73000000004</v>
      </c>
    </row>
    <row r="17" spans="1:9" x14ac:dyDescent="0.2">
      <c r="A17" s="231" t="s">
        <v>176</v>
      </c>
      <c r="B17" s="232">
        <v>45664</v>
      </c>
      <c r="C17" s="233" t="s">
        <v>177</v>
      </c>
      <c r="D17" s="235"/>
      <c r="E17" s="235">
        <f t="shared" si="0"/>
        <v>722956.1</v>
      </c>
      <c r="F17" s="238">
        <v>72396.160000000003</v>
      </c>
      <c r="G17" s="236">
        <f t="shared" si="1"/>
        <v>500680.53</v>
      </c>
      <c r="H17" s="236">
        <f t="shared" si="2"/>
        <v>222275.57000000004</v>
      </c>
      <c r="I17" s="239">
        <f>I15+3810.33</f>
        <v>26351.61</v>
      </c>
    </row>
    <row r="18" spans="1:9" x14ac:dyDescent="0.2">
      <c r="A18" s="231" t="s">
        <v>104</v>
      </c>
      <c r="B18" s="232">
        <v>45693</v>
      </c>
      <c r="C18" s="233" t="s">
        <v>197</v>
      </c>
      <c r="D18" s="240">
        <v>-156553.23000000001</v>
      </c>
      <c r="E18" s="235">
        <f t="shared" si="0"/>
        <v>566402.87</v>
      </c>
      <c r="F18" s="238"/>
      <c r="G18" s="236">
        <f t="shared" si="1"/>
        <v>500680.53</v>
      </c>
      <c r="H18" s="236">
        <f t="shared" si="2"/>
        <v>65722.340000000026</v>
      </c>
    </row>
    <row r="19" spans="1:9" x14ac:dyDescent="0.2">
      <c r="A19" s="231" t="s">
        <v>203</v>
      </c>
      <c r="B19" s="232">
        <v>45705</v>
      </c>
      <c r="C19" s="233" t="s">
        <v>204</v>
      </c>
      <c r="D19" s="235"/>
      <c r="E19" s="235">
        <f t="shared" si="0"/>
        <v>566402.87</v>
      </c>
      <c r="F19" s="238">
        <v>10933.87</v>
      </c>
      <c r="G19" s="236">
        <f t="shared" si="1"/>
        <v>511614.4</v>
      </c>
      <c r="H19" s="236">
        <f t="shared" si="2"/>
        <v>54788.470000000023</v>
      </c>
      <c r="I19" s="239">
        <f>I17+575.47</f>
        <v>26927.08</v>
      </c>
    </row>
    <row r="20" spans="1:9" x14ac:dyDescent="0.2">
      <c r="A20" s="231" t="s">
        <v>245</v>
      </c>
      <c r="B20" s="232">
        <v>45854</v>
      </c>
      <c r="C20" s="233" t="s">
        <v>248</v>
      </c>
      <c r="D20" s="240"/>
      <c r="E20" s="235">
        <f t="shared" si="0"/>
        <v>566402.87</v>
      </c>
      <c r="F20" s="238">
        <v>17555.62</v>
      </c>
      <c r="G20" s="236">
        <f t="shared" si="1"/>
        <v>529170.02</v>
      </c>
      <c r="H20" s="236">
        <f t="shared" si="2"/>
        <v>37232.85000000002</v>
      </c>
      <c r="I20" s="239">
        <f>I19+923.98</f>
        <v>27851.06</v>
      </c>
    </row>
    <row r="21" spans="1:9" x14ac:dyDescent="0.2">
      <c r="A21" s="231" t="s">
        <v>246</v>
      </c>
      <c r="B21" s="232">
        <v>45862</v>
      </c>
      <c r="C21" s="233" t="s">
        <v>247</v>
      </c>
      <c r="D21" s="240"/>
      <c r="E21" s="235">
        <f t="shared" si="0"/>
        <v>566402.87</v>
      </c>
      <c r="F21" s="238">
        <v>609.61</v>
      </c>
      <c r="G21" s="236">
        <f t="shared" si="1"/>
        <v>529779.63</v>
      </c>
      <c r="H21" s="236">
        <f t="shared" si="2"/>
        <v>36623.24000000002</v>
      </c>
      <c r="I21" s="239">
        <f>I20+32.09</f>
        <v>27883.15</v>
      </c>
    </row>
    <row r="22" spans="1:9" x14ac:dyDescent="0.2">
      <c r="A22" s="231" t="s">
        <v>251</v>
      </c>
      <c r="B22" s="232">
        <v>45887</v>
      </c>
      <c r="C22" s="233" t="s">
        <v>252</v>
      </c>
      <c r="D22" s="240">
        <v>-8740.09</v>
      </c>
      <c r="E22" s="235">
        <f t="shared" si="0"/>
        <v>557662.78</v>
      </c>
      <c r="F22" s="239">
        <v>27883.15</v>
      </c>
      <c r="G22" s="236">
        <f t="shared" si="1"/>
        <v>557662.78</v>
      </c>
      <c r="H22" s="236">
        <f t="shared" si="2"/>
        <v>1.8189894035458565E-11</v>
      </c>
      <c r="I22" s="239"/>
    </row>
    <row r="23" spans="1:9" x14ac:dyDescent="0.2">
      <c r="A23" s="231"/>
      <c r="B23" s="232"/>
      <c r="C23" s="241"/>
      <c r="D23" s="235"/>
      <c r="E23" s="235">
        <f t="shared" si="0"/>
        <v>557662.78</v>
      </c>
      <c r="F23" s="236"/>
      <c r="G23" s="236">
        <f t="shared" si="1"/>
        <v>557662.78</v>
      </c>
      <c r="H23" s="236">
        <f t="shared" si="2"/>
        <v>1.8189894035458565E-11</v>
      </c>
    </row>
    <row r="24" spans="1:9" x14ac:dyDescent="0.2">
      <c r="A24" s="231"/>
      <c r="D24" s="236"/>
      <c r="E24" s="236"/>
      <c r="F24" s="236"/>
      <c r="G24" s="236"/>
      <c r="H24" s="236"/>
    </row>
    <row r="25" spans="1:9" ht="13.5" thickBot="1" x14ac:dyDescent="0.25">
      <c r="A25" s="231"/>
      <c r="B25" s="243"/>
      <c r="C25" s="244" t="s">
        <v>28</v>
      </c>
      <c r="D25" s="245">
        <f>SUM(D9:D24)</f>
        <v>557662.78</v>
      </c>
      <c r="E25" s="245"/>
      <c r="F25" s="245">
        <f>SUM(F9:F24)</f>
        <v>557662.78</v>
      </c>
      <c r="G25" s="245"/>
      <c r="H25" s="245">
        <f>D25-F25</f>
        <v>0</v>
      </c>
      <c r="I25" s="44" t="s">
        <v>147</v>
      </c>
    </row>
    <row r="26" spans="1:9" ht="13.5" thickTop="1" x14ac:dyDescent="0.2">
      <c r="D26" s="236"/>
      <c r="E26" s="236"/>
      <c r="F26" s="236"/>
      <c r="G26" s="236"/>
      <c r="H26" s="236"/>
    </row>
    <row r="27" spans="1:9" x14ac:dyDescent="0.2">
      <c r="D27" s="236"/>
      <c r="E27" s="236"/>
      <c r="F27" s="236"/>
      <c r="G27" s="236"/>
      <c r="H27" s="236"/>
    </row>
    <row r="28" spans="1:9" x14ac:dyDescent="0.2">
      <c r="C28" s="242" t="s">
        <v>105</v>
      </c>
      <c r="D28" s="236">
        <v>147881</v>
      </c>
      <c r="E28" s="236"/>
      <c r="F28" s="236">
        <f>96567.83+43919.12+7394.05</f>
        <v>147881</v>
      </c>
      <c r="G28" s="236"/>
      <c r="H28" s="236">
        <f>D28-F28</f>
        <v>0</v>
      </c>
    </row>
    <row r="29" spans="1:9" x14ac:dyDescent="0.2">
      <c r="C29" s="242" t="s">
        <v>84</v>
      </c>
      <c r="D29" s="236">
        <f>267669-33726.38</f>
        <v>233942.62</v>
      </c>
      <c r="E29" s="236"/>
      <c r="F29" s="236">
        <v>233942.62</v>
      </c>
      <c r="G29" s="236"/>
      <c r="H29" s="236">
        <f t="shared" ref="H29:H38" si="3">D29-F29</f>
        <v>0</v>
      </c>
    </row>
    <row r="30" spans="1:9" x14ac:dyDescent="0.2">
      <c r="C30" s="242" t="s">
        <v>85</v>
      </c>
      <c r="D30" s="236">
        <f>37989-688.75</f>
        <v>37300.25</v>
      </c>
      <c r="E30" s="236"/>
      <c r="F30" s="236">
        <v>37300.25</v>
      </c>
      <c r="G30" s="236"/>
      <c r="H30" s="236">
        <f t="shared" si="3"/>
        <v>0</v>
      </c>
    </row>
    <row r="31" spans="1:9" x14ac:dyDescent="0.2">
      <c r="C31" s="242" t="s">
        <v>86</v>
      </c>
      <c r="D31" s="236">
        <v>9200</v>
      </c>
      <c r="E31" s="236"/>
      <c r="F31" s="236">
        <v>9200</v>
      </c>
      <c r="G31" s="236"/>
      <c r="H31" s="236">
        <f t="shared" si="3"/>
        <v>0</v>
      </c>
    </row>
    <row r="32" spans="1:9" x14ac:dyDescent="0.2">
      <c r="C32" s="242" t="s">
        <v>87</v>
      </c>
      <c r="D32" s="236">
        <f>26154-22203.62</f>
        <v>3950.380000000001</v>
      </c>
      <c r="E32" s="236"/>
      <c r="F32" s="236">
        <v>3950.38</v>
      </c>
      <c r="G32" s="236"/>
      <c r="H32" s="236">
        <f t="shared" si="3"/>
        <v>0</v>
      </c>
    </row>
    <row r="33" spans="3:8" x14ac:dyDescent="0.2">
      <c r="C33" s="242" t="s">
        <v>106</v>
      </c>
      <c r="D33" s="236">
        <f>12149-12149</f>
        <v>0</v>
      </c>
      <c r="E33" s="236"/>
      <c r="F33" s="236"/>
      <c r="G33" s="236"/>
      <c r="H33" s="236">
        <f t="shared" si="3"/>
        <v>0</v>
      </c>
    </row>
    <row r="34" spans="3:8" x14ac:dyDescent="0.2">
      <c r="C34" s="242" t="s">
        <v>122</v>
      </c>
      <c r="D34" s="236">
        <f>171854.06-57974.87</f>
        <v>113879.19</v>
      </c>
      <c r="E34" s="236"/>
      <c r="F34" s="236">
        <v>113879.19</v>
      </c>
      <c r="G34" s="236"/>
      <c r="H34" s="236">
        <f t="shared" si="3"/>
        <v>0</v>
      </c>
    </row>
    <row r="35" spans="3:8" x14ac:dyDescent="0.2">
      <c r="C35" s="242" t="s">
        <v>126</v>
      </c>
      <c r="D35" s="236">
        <f>28577.08-28577.08</f>
        <v>0</v>
      </c>
      <c r="E35" s="236"/>
      <c r="F35" s="236"/>
      <c r="G35" s="236"/>
      <c r="H35" s="236">
        <f t="shared" si="3"/>
        <v>0</v>
      </c>
    </row>
    <row r="36" spans="3:8" x14ac:dyDescent="0.2">
      <c r="C36" s="242" t="s">
        <v>140</v>
      </c>
      <c r="D36" s="236">
        <f>21482.96-9973.62</f>
        <v>11509.339999999998</v>
      </c>
      <c r="E36" s="236"/>
      <c r="F36" s="236">
        <v>11509.34</v>
      </c>
      <c r="G36" s="236"/>
      <c r="H36" s="236">
        <f t="shared" si="3"/>
        <v>0</v>
      </c>
    </row>
    <row r="37" spans="3:8" x14ac:dyDescent="0.2">
      <c r="C37" s="242" t="s">
        <v>196</v>
      </c>
      <c r="D37" s="236">
        <v>0</v>
      </c>
      <c r="E37" s="236"/>
      <c r="F37" s="236"/>
      <c r="G37" s="236"/>
      <c r="H37" s="236">
        <f t="shared" si="3"/>
        <v>0</v>
      </c>
    </row>
    <row r="38" spans="3:8" x14ac:dyDescent="0.2">
      <c r="C38" s="242" t="s">
        <v>197</v>
      </c>
      <c r="D38" s="249">
        <f>-156553.23+156553.23</f>
        <v>0</v>
      </c>
      <c r="E38" s="236"/>
      <c r="F38" s="236"/>
      <c r="G38" s="236"/>
      <c r="H38" s="249">
        <f t="shared" si="3"/>
        <v>0</v>
      </c>
    </row>
    <row r="39" spans="3:8" ht="13.5" thickBot="1" x14ac:dyDescent="0.25">
      <c r="C39" s="247" t="s">
        <v>225</v>
      </c>
      <c r="D39" s="267">
        <f>SUM(D28:D38)</f>
        <v>557662.77999999991</v>
      </c>
      <c r="E39" s="236"/>
      <c r="F39" s="267">
        <f>SUM(F28:F38)</f>
        <v>557662.77999999991</v>
      </c>
      <c r="G39" s="236"/>
      <c r="H39" s="267">
        <f>SUM(H28:H38)</f>
        <v>0</v>
      </c>
    </row>
    <row r="40" spans="3:8" ht="13.5" thickTop="1" x14ac:dyDescent="0.2">
      <c r="E40" s="248"/>
    </row>
    <row r="41" spans="3:8" x14ac:dyDescent="0.2">
      <c r="E41" s="248"/>
    </row>
    <row r="42" spans="3:8" x14ac:dyDescent="0.2">
      <c r="E42" s="248"/>
    </row>
    <row r="43" spans="3:8" x14ac:dyDescent="0.2">
      <c r="E43" s="248"/>
    </row>
    <row r="44" spans="3:8" x14ac:dyDescent="0.2">
      <c r="E44" s="248"/>
    </row>
    <row r="45" spans="3:8" x14ac:dyDescent="0.2">
      <c r="E45" s="248"/>
    </row>
    <row r="46" spans="3:8" x14ac:dyDescent="0.2">
      <c r="E46" s="248"/>
    </row>
    <row r="47" spans="3:8" x14ac:dyDescent="0.2">
      <c r="E47" s="248"/>
    </row>
    <row r="48" spans="3:8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  <row r="628" spans="5:5" x14ac:dyDescent="0.2">
      <c r="E628" s="248"/>
    </row>
    <row r="629" spans="5:5" x14ac:dyDescent="0.2">
      <c r="E629" s="248"/>
    </row>
    <row r="630" spans="5:5" x14ac:dyDescent="0.2">
      <c r="E630" s="248"/>
    </row>
    <row r="631" spans="5:5" x14ac:dyDescent="0.2">
      <c r="E631" s="248"/>
    </row>
    <row r="632" spans="5:5" x14ac:dyDescent="0.2">
      <c r="E632" s="248"/>
    </row>
    <row r="633" spans="5:5" x14ac:dyDescent="0.2">
      <c r="E633" s="248"/>
    </row>
    <row r="634" spans="5:5" x14ac:dyDescent="0.2">
      <c r="E634" s="248"/>
    </row>
    <row r="635" spans="5:5" x14ac:dyDescent="0.2">
      <c r="E635" s="248"/>
    </row>
  </sheetData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21.14062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110</v>
      </c>
      <c r="B4" s="37"/>
      <c r="D4" s="218" t="s">
        <v>111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112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113</v>
      </c>
      <c r="B9" s="232">
        <v>45513</v>
      </c>
      <c r="C9" s="233" t="s">
        <v>82</v>
      </c>
      <c r="D9" s="234">
        <v>20358.400000000001</v>
      </c>
      <c r="E9" s="235">
        <f>D9</f>
        <v>20358.400000000001</v>
      </c>
      <c r="F9" s="236"/>
      <c r="G9" s="236"/>
      <c r="H9" s="236">
        <f>E9</f>
        <v>20358.400000000001</v>
      </c>
    </row>
    <row r="10" spans="1:9" x14ac:dyDescent="0.2">
      <c r="A10" s="231" t="s">
        <v>145</v>
      </c>
      <c r="B10" s="237">
        <v>45631</v>
      </c>
      <c r="C10" s="233" t="s">
        <v>144</v>
      </c>
      <c r="D10" s="234"/>
      <c r="E10" s="235">
        <f t="shared" ref="E10:E21" si="0">E9+D10</f>
        <v>20358.400000000001</v>
      </c>
      <c r="F10" s="238">
        <v>16878.509999999998</v>
      </c>
      <c r="G10" s="236">
        <f t="shared" ref="G10:G21" si="1">G9+F10</f>
        <v>16878.509999999998</v>
      </c>
      <c r="H10" s="236">
        <f t="shared" ref="H10:H21" si="2">H9-F10+D10</f>
        <v>3479.8900000000031</v>
      </c>
      <c r="I10" s="239">
        <v>888.34</v>
      </c>
    </row>
    <row r="11" spans="1:9" x14ac:dyDescent="0.2">
      <c r="A11" s="231" t="s">
        <v>163</v>
      </c>
      <c r="B11" s="232">
        <v>45660</v>
      </c>
      <c r="C11" s="233" t="s">
        <v>162</v>
      </c>
      <c r="D11" s="240">
        <v>-2591.5500000000002</v>
      </c>
      <c r="E11" s="235">
        <f t="shared" si="0"/>
        <v>17766.850000000002</v>
      </c>
      <c r="F11" s="239">
        <v>888.34</v>
      </c>
      <c r="G11" s="236">
        <f t="shared" si="1"/>
        <v>17766.849999999999</v>
      </c>
      <c r="H11" s="236">
        <f t="shared" si="2"/>
        <v>0</v>
      </c>
      <c r="I11" s="236"/>
    </row>
    <row r="12" spans="1:9" x14ac:dyDescent="0.2">
      <c r="A12" s="231"/>
      <c r="B12" s="232"/>
      <c r="C12" s="233"/>
      <c r="D12" s="235"/>
      <c r="E12" s="235">
        <f t="shared" si="0"/>
        <v>17766.850000000002</v>
      </c>
      <c r="F12" s="239"/>
      <c r="G12" s="236">
        <f t="shared" si="1"/>
        <v>17766.849999999999</v>
      </c>
      <c r="H12" s="236">
        <f t="shared" si="2"/>
        <v>0</v>
      </c>
      <c r="I12" s="236"/>
    </row>
    <row r="13" spans="1:9" x14ac:dyDescent="0.2">
      <c r="A13" s="231"/>
      <c r="B13" s="232"/>
      <c r="C13" s="233"/>
      <c r="D13" s="235"/>
      <c r="E13" s="235">
        <f t="shared" si="0"/>
        <v>17766.850000000002</v>
      </c>
      <c r="F13" s="239"/>
      <c r="G13" s="236">
        <f t="shared" si="1"/>
        <v>17766.849999999999</v>
      </c>
      <c r="H13" s="236">
        <f t="shared" si="2"/>
        <v>0</v>
      </c>
      <c r="I13" s="236"/>
    </row>
    <row r="14" spans="1:9" x14ac:dyDescent="0.2">
      <c r="A14" s="231"/>
      <c r="B14" s="232"/>
      <c r="C14" s="233"/>
      <c r="D14" s="235"/>
      <c r="E14" s="235">
        <f t="shared" si="0"/>
        <v>17766.850000000002</v>
      </c>
      <c r="F14" s="236"/>
      <c r="G14" s="236">
        <f t="shared" si="1"/>
        <v>17766.849999999999</v>
      </c>
      <c r="H14" s="236">
        <f t="shared" si="2"/>
        <v>0</v>
      </c>
      <c r="I14" s="236"/>
    </row>
    <row r="15" spans="1:9" x14ac:dyDescent="0.2">
      <c r="A15" s="231"/>
      <c r="B15" s="232"/>
      <c r="C15" s="233"/>
      <c r="D15" s="235"/>
      <c r="E15" s="235">
        <f t="shared" si="0"/>
        <v>17766.850000000002</v>
      </c>
      <c r="F15" s="239"/>
      <c r="G15" s="236">
        <f t="shared" si="1"/>
        <v>17766.849999999999</v>
      </c>
      <c r="H15" s="236">
        <f t="shared" si="2"/>
        <v>0</v>
      </c>
      <c r="I15" s="236"/>
    </row>
    <row r="16" spans="1:9" x14ac:dyDescent="0.2">
      <c r="A16" s="231"/>
      <c r="B16" s="232"/>
      <c r="C16" s="233"/>
      <c r="D16" s="235"/>
      <c r="E16" s="235">
        <f t="shared" si="0"/>
        <v>17766.850000000002</v>
      </c>
      <c r="F16" s="239"/>
      <c r="G16" s="236">
        <f t="shared" si="1"/>
        <v>17766.849999999999</v>
      </c>
      <c r="H16" s="236">
        <f t="shared" si="2"/>
        <v>0</v>
      </c>
      <c r="I16" s="236"/>
    </row>
    <row r="17" spans="1:9" x14ac:dyDescent="0.2">
      <c r="A17" s="231"/>
      <c r="B17" s="232"/>
      <c r="C17" s="233"/>
      <c r="D17" s="235"/>
      <c r="E17" s="235">
        <f t="shared" si="0"/>
        <v>17766.850000000002</v>
      </c>
      <c r="F17" s="239"/>
      <c r="G17" s="236">
        <f t="shared" si="1"/>
        <v>17766.849999999999</v>
      </c>
      <c r="H17" s="236">
        <f t="shared" si="2"/>
        <v>0</v>
      </c>
      <c r="I17" s="236"/>
    </row>
    <row r="18" spans="1:9" x14ac:dyDescent="0.2">
      <c r="A18" s="231"/>
      <c r="B18" s="232"/>
      <c r="C18" s="233"/>
      <c r="D18" s="235"/>
      <c r="E18" s="235">
        <f t="shared" si="0"/>
        <v>17766.850000000002</v>
      </c>
      <c r="F18" s="239"/>
      <c r="G18" s="236">
        <f t="shared" si="1"/>
        <v>17766.849999999999</v>
      </c>
      <c r="H18" s="236">
        <f t="shared" si="2"/>
        <v>0</v>
      </c>
      <c r="I18" s="236"/>
    </row>
    <row r="19" spans="1:9" x14ac:dyDescent="0.2">
      <c r="A19" s="231"/>
      <c r="B19" s="232"/>
      <c r="C19" s="233"/>
      <c r="D19" s="235"/>
      <c r="E19" s="235">
        <f t="shared" si="0"/>
        <v>17766.850000000002</v>
      </c>
      <c r="F19" s="236"/>
      <c r="G19" s="236">
        <f t="shared" si="1"/>
        <v>17766.849999999999</v>
      </c>
      <c r="H19" s="236">
        <f t="shared" si="2"/>
        <v>0</v>
      </c>
      <c r="I19" s="236"/>
    </row>
    <row r="20" spans="1:9" x14ac:dyDescent="0.2">
      <c r="A20" s="231"/>
      <c r="B20" s="232"/>
      <c r="C20" s="233"/>
      <c r="D20" s="235"/>
      <c r="E20" s="235">
        <f t="shared" si="0"/>
        <v>17766.850000000002</v>
      </c>
      <c r="F20" s="236"/>
      <c r="G20" s="236">
        <f t="shared" si="1"/>
        <v>17766.849999999999</v>
      </c>
      <c r="H20" s="236">
        <f t="shared" si="2"/>
        <v>0</v>
      </c>
      <c r="I20" s="236"/>
    </row>
    <row r="21" spans="1:9" x14ac:dyDescent="0.2">
      <c r="A21" s="231"/>
      <c r="B21" s="232"/>
      <c r="C21" s="241"/>
      <c r="D21" s="235"/>
      <c r="E21" s="235">
        <f t="shared" si="0"/>
        <v>17766.850000000002</v>
      </c>
      <c r="F21" s="236"/>
      <c r="G21" s="236">
        <f t="shared" si="1"/>
        <v>17766.849999999999</v>
      </c>
      <c r="H21" s="236">
        <f t="shared" si="2"/>
        <v>0</v>
      </c>
      <c r="I21" s="236"/>
    </row>
    <row r="22" spans="1:9" x14ac:dyDescent="0.2">
      <c r="A22" s="231"/>
      <c r="D22" s="236"/>
      <c r="E22" s="236"/>
      <c r="F22" s="236"/>
      <c r="G22" s="236"/>
      <c r="H22" s="236"/>
    </row>
    <row r="23" spans="1:9" ht="13.5" thickBot="1" x14ac:dyDescent="0.25">
      <c r="A23" s="231"/>
      <c r="B23" s="243"/>
      <c r="C23" s="244" t="s">
        <v>28</v>
      </c>
      <c r="D23" s="245">
        <f>SUM(D9:D22)</f>
        <v>17766.850000000002</v>
      </c>
      <c r="E23" s="245"/>
      <c r="F23" s="245">
        <f>SUM(F9:F22)</f>
        <v>17766.849999999999</v>
      </c>
      <c r="G23" s="245"/>
      <c r="H23" s="245">
        <f>D23-F23</f>
        <v>0</v>
      </c>
      <c r="I23" s="44" t="s">
        <v>147</v>
      </c>
    </row>
    <row r="24" spans="1:9" ht="13.5" thickTop="1" x14ac:dyDescent="0.2">
      <c r="D24" s="236"/>
      <c r="E24" s="236"/>
      <c r="F24" s="236"/>
      <c r="G24" s="236"/>
      <c r="H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52"/>
      <c r="D26" s="253"/>
      <c r="E26" s="253"/>
      <c r="F26" s="253"/>
      <c r="G26" s="253"/>
      <c r="H26" s="253"/>
      <c r="I26" s="254"/>
    </row>
    <row r="27" spans="1:9" x14ac:dyDescent="0.2">
      <c r="C27" s="252"/>
      <c r="D27" s="253"/>
      <c r="E27" s="253"/>
      <c r="F27" s="253"/>
      <c r="G27" s="253"/>
      <c r="H27" s="253"/>
      <c r="I27" s="254"/>
    </row>
    <row r="28" spans="1:9" x14ac:dyDescent="0.2">
      <c r="C28" s="252"/>
      <c r="D28" s="253"/>
      <c r="E28" s="253"/>
      <c r="F28" s="253"/>
      <c r="G28" s="253"/>
      <c r="H28" s="253"/>
      <c r="I28" s="254"/>
    </row>
    <row r="29" spans="1:9" x14ac:dyDescent="0.2">
      <c r="C29" s="252"/>
      <c r="D29" s="253"/>
      <c r="E29" s="253"/>
      <c r="F29" s="253"/>
      <c r="G29" s="253"/>
      <c r="H29" s="253"/>
      <c r="I29" s="254"/>
    </row>
    <row r="30" spans="1:9" x14ac:dyDescent="0.2">
      <c r="C30" s="252"/>
      <c r="D30" s="253"/>
      <c r="E30" s="253"/>
      <c r="F30" s="253"/>
      <c r="G30" s="253"/>
      <c r="H30" s="253"/>
      <c r="I30" s="254"/>
    </row>
    <row r="31" spans="1:9" x14ac:dyDescent="0.2">
      <c r="C31" s="252"/>
      <c r="D31" s="253"/>
      <c r="E31" s="253"/>
      <c r="F31" s="253"/>
      <c r="G31" s="253"/>
      <c r="H31" s="253"/>
      <c r="I31" s="254"/>
    </row>
    <row r="32" spans="1:9" x14ac:dyDescent="0.2">
      <c r="C32" s="252"/>
      <c r="D32" s="255"/>
      <c r="E32" s="253"/>
      <c r="F32" s="255"/>
      <c r="G32" s="253"/>
      <c r="H32" s="255"/>
      <c r="I32" s="254"/>
    </row>
    <row r="33" spans="3:9" x14ac:dyDescent="0.2">
      <c r="C33" s="252"/>
      <c r="D33" s="254"/>
      <c r="E33" s="246"/>
      <c r="F33" s="256"/>
      <c r="G33" s="256"/>
      <c r="H33" s="254"/>
      <c r="I33" s="254"/>
    </row>
    <row r="34" spans="3:9" x14ac:dyDescent="0.2">
      <c r="C34" s="252"/>
      <c r="D34" s="254"/>
      <c r="E34" s="246"/>
      <c r="F34" s="256"/>
      <c r="G34" s="256"/>
      <c r="H34" s="254"/>
      <c r="I34" s="254"/>
    </row>
    <row r="35" spans="3:9" x14ac:dyDescent="0.2">
      <c r="E35" s="248"/>
    </row>
    <row r="36" spans="3:9" x14ac:dyDescent="0.2">
      <c r="E36" s="248"/>
    </row>
    <row r="37" spans="3:9" x14ac:dyDescent="0.2">
      <c r="E37" s="248"/>
    </row>
    <row r="38" spans="3:9" x14ac:dyDescent="0.2">
      <c r="E38" s="248"/>
    </row>
    <row r="39" spans="3:9" x14ac:dyDescent="0.2">
      <c r="E39" s="248"/>
    </row>
    <row r="40" spans="3:9" x14ac:dyDescent="0.2">
      <c r="E40" s="248"/>
    </row>
    <row r="41" spans="3:9" x14ac:dyDescent="0.2">
      <c r="E41" s="248"/>
    </row>
    <row r="42" spans="3:9" x14ac:dyDescent="0.2">
      <c r="E42" s="248"/>
    </row>
    <row r="43" spans="3:9" x14ac:dyDescent="0.2">
      <c r="E43" s="248"/>
    </row>
    <row r="44" spans="3:9" x14ac:dyDescent="0.2">
      <c r="E44" s="248"/>
    </row>
    <row r="45" spans="3:9" x14ac:dyDescent="0.2">
      <c r="E45" s="248"/>
    </row>
    <row r="46" spans="3:9" x14ac:dyDescent="0.2">
      <c r="E46" s="248"/>
    </row>
    <row r="47" spans="3:9" x14ac:dyDescent="0.2">
      <c r="E47" s="248"/>
    </row>
    <row r="48" spans="3:9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  <row r="628" spans="5:5" x14ac:dyDescent="0.2">
      <c r="E628" s="248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21.8554687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117</v>
      </c>
      <c r="B4" s="37"/>
      <c r="D4" s="218" t="s">
        <v>111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112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118</v>
      </c>
      <c r="B9" s="232">
        <v>45558</v>
      </c>
      <c r="C9" s="233" t="s">
        <v>82</v>
      </c>
      <c r="D9" s="234">
        <v>38889.93</v>
      </c>
      <c r="E9" s="235">
        <f>D9</f>
        <v>38889.93</v>
      </c>
      <c r="F9" s="238"/>
      <c r="G9" s="236"/>
      <c r="H9" s="236">
        <f>E9</f>
        <v>38889.93</v>
      </c>
    </row>
    <row r="10" spans="1:9" x14ac:dyDescent="0.2">
      <c r="A10" s="231" t="s">
        <v>143</v>
      </c>
      <c r="B10" s="237">
        <v>45631</v>
      </c>
      <c r="C10" s="233" t="s">
        <v>150</v>
      </c>
      <c r="D10" s="234"/>
      <c r="E10" s="235">
        <f t="shared" ref="E10:E21" si="0">E9+D10</f>
        <v>38889.93</v>
      </c>
      <c r="F10" s="238">
        <v>30133.759999999998</v>
      </c>
      <c r="G10" s="236">
        <f t="shared" ref="G10:G21" si="1">G9+F10</f>
        <v>30133.759999999998</v>
      </c>
      <c r="H10" s="236">
        <f t="shared" ref="H10:H21" si="2">H9-F10+D10</f>
        <v>8756.1700000000019</v>
      </c>
      <c r="I10" s="239">
        <f>1585.98</f>
        <v>1585.98</v>
      </c>
    </row>
    <row r="11" spans="1:9" x14ac:dyDescent="0.2">
      <c r="A11" s="231" t="s">
        <v>118</v>
      </c>
      <c r="B11" s="232">
        <v>45637</v>
      </c>
      <c r="C11" s="233" t="s">
        <v>156</v>
      </c>
      <c r="D11" s="234">
        <v>0</v>
      </c>
      <c r="E11" s="235">
        <f t="shared" si="0"/>
        <v>38889.93</v>
      </c>
      <c r="F11" s="238"/>
      <c r="G11" s="236">
        <f t="shared" si="1"/>
        <v>30133.759999999998</v>
      </c>
      <c r="H11" s="236">
        <f t="shared" si="2"/>
        <v>8756.1700000000019</v>
      </c>
      <c r="I11" s="236"/>
    </row>
    <row r="12" spans="1:9" x14ac:dyDescent="0.2">
      <c r="A12" s="231" t="s">
        <v>160</v>
      </c>
      <c r="B12" s="232">
        <v>45653</v>
      </c>
      <c r="C12" s="233" t="s">
        <v>161</v>
      </c>
      <c r="D12" s="235"/>
      <c r="E12" s="235">
        <f t="shared" si="0"/>
        <v>38889.93</v>
      </c>
      <c r="F12" s="238">
        <v>2787.3</v>
      </c>
      <c r="G12" s="236">
        <f t="shared" si="1"/>
        <v>32921.06</v>
      </c>
      <c r="H12" s="236">
        <f t="shared" si="2"/>
        <v>5968.8700000000017</v>
      </c>
      <c r="I12" s="239">
        <f>I10+146.7</f>
        <v>1732.68</v>
      </c>
    </row>
    <row r="13" spans="1:9" x14ac:dyDescent="0.2">
      <c r="A13" s="231" t="s">
        <v>181</v>
      </c>
      <c r="B13" s="232">
        <v>45666</v>
      </c>
      <c r="C13" s="233" t="s">
        <v>182</v>
      </c>
      <c r="D13" s="240">
        <v>-4236.1899999999996</v>
      </c>
      <c r="E13" s="235">
        <f t="shared" si="0"/>
        <v>34653.74</v>
      </c>
      <c r="F13" s="239">
        <v>1732.68</v>
      </c>
      <c r="G13" s="236">
        <f t="shared" si="1"/>
        <v>34653.74</v>
      </c>
      <c r="H13" s="236">
        <f t="shared" si="2"/>
        <v>0</v>
      </c>
      <c r="I13" s="236"/>
    </row>
    <row r="14" spans="1:9" x14ac:dyDescent="0.2">
      <c r="A14" s="231"/>
      <c r="B14" s="232"/>
      <c r="C14" s="233"/>
      <c r="D14" s="235"/>
      <c r="E14" s="235">
        <f t="shared" si="0"/>
        <v>34653.74</v>
      </c>
      <c r="F14" s="236"/>
      <c r="G14" s="236">
        <f t="shared" si="1"/>
        <v>34653.74</v>
      </c>
      <c r="H14" s="236">
        <f t="shared" si="2"/>
        <v>0</v>
      </c>
      <c r="I14" s="236"/>
    </row>
    <row r="15" spans="1:9" x14ac:dyDescent="0.2">
      <c r="A15" s="231"/>
      <c r="B15" s="232"/>
      <c r="C15" s="233"/>
      <c r="D15" s="235"/>
      <c r="E15" s="235">
        <f t="shared" si="0"/>
        <v>34653.74</v>
      </c>
      <c r="F15" s="239"/>
      <c r="G15" s="236">
        <f t="shared" si="1"/>
        <v>34653.74</v>
      </c>
      <c r="H15" s="236">
        <f t="shared" si="2"/>
        <v>0</v>
      </c>
      <c r="I15" s="236"/>
    </row>
    <row r="16" spans="1:9" x14ac:dyDescent="0.2">
      <c r="A16" s="231"/>
      <c r="B16" s="232"/>
      <c r="C16" s="233"/>
      <c r="D16" s="235"/>
      <c r="E16" s="235">
        <f t="shared" si="0"/>
        <v>34653.74</v>
      </c>
      <c r="F16" s="239"/>
      <c r="G16" s="236">
        <f t="shared" si="1"/>
        <v>34653.74</v>
      </c>
      <c r="H16" s="236">
        <f t="shared" si="2"/>
        <v>0</v>
      </c>
      <c r="I16" s="236"/>
    </row>
    <row r="17" spans="1:9" x14ac:dyDescent="0.2">
      <c r="A17" s="231"/>
      <c r="B17" s="232"/>
      <c r="C17" s="233"/>
      <c r="D17" s="235"/>
      <c r="E17" s="235">
        <f t="shared" si="0"/>
        <v>34653.74</v>
      </c>
      <c r="F17" s="239"/>
      <c r="G17" s="236">
        <f t="shared" si="1"/>
        <v>34653.74</v>
      </c>
      <c r="H17" s="236">
        <f t="shared" si="2"/>
        <v>0</v>
      </c>
      <c r="I17" s="236"/>
    </row>
    <row r="18" spans="1:9" x14ac:dyDescent="0.2">
      <c r="A18" s="231"/>
      <c r="B18" s="232"/>
      <c r="C18" s="233"/>
      <c r="D18" s="235"/>
      <c r="E18" s="235">
        <f t="shared" si="0"/>
        <v>34653.74</v>
      </c>
      <c r="F18" s="239"/>
      <c r="G18" s="236">
        <f t="shared" si="1"/>
        <v>34653.74</v>
      </c>
      <c r="H18" s="236">
        <f t="shared" si="2"/>
        <v>0</v>
      </c>
      <c r="I18" s="236"/>
    </row>
    <row r="19" spans="1:9" x14ac:dyDescent="0.2">
      <c r="A19" s="231"/>
      <c r="B19" s="232"/>
      <c r="C19" s="233"/>
      <c r="D19" s="235"/>
      <c r="E19" s="235">
        <f t="shared" si="0"/>
        <v>34653.74</v>
      </c>
      <c r="F19" s="236"/>
      <c r="G19" s="236">
        <f t="shared" si="1"/>
        <v>34653.74</v>
      </c>
      <c r="H19" s="236">
        <f t="shared" si="2"/>
        <v>0</v>
      </c>
      <c r="I19" s="236"/>
    </row>
    <row r="20" spans="1:9" x14ac:dyDescent="0.2">
      <c r="A20" s="231"/>
      <c r="B20" s="232"/>
      <c r="C20" s="233"/>
      <c r="D20" s="235"/>
      <c r="E20" s="235">
        <f t="shared" si="0"/>
        <v>34653.74</v>
      </c>
      <c r="F20" s="236"/>
      <c r="G20" s="236">
        <f t="shared" si="1"/>
        <v>34653.74</v>
      </c>
      <c r="H20" s="236">
        <f t="shared" si="2"/>
        <v>0</v>
      </c>
      <c r="I20" s="236"/>
    </row>
    <row r="21" spans="1:9" x14ac:dyDescent="0.2">
      <c r="A21" s="231"/>
      <c r="B21" s="232"/>
      <c r="C21" s="241"/>
      <c r="D21" s="235"/>
      <c r="E21" s="235">
        <f t="shared" si="0"/>
        <v>34653.74</v>
      </c>
      <c r="F21" s="236"/>
      <c r="G21" s="236">
        <f t="shared" si="1"/>
        <v>34653.74</v>
      </c>
      <c r="H21" s="236">
        <f t="shared" si="2"/>
        <v>0</v>
      </c>
      <c r="I21" s="236"/>
    </row>
    <row r="22" spans="1:9" x14ac:dyDescent="0.2">
      <c r="A22" s="231"/>
      <c r="D22" s="236"/>
      <c r="E22" s="236"/>
      <c r="F22" s="236"/>
      <c r="G22" s="236"/>
      <c r="H22" s="236"/>
      <c r="I22" s="236"/>
    </row>
    <row r="23" spans="1:9" ht="13.5" thickBot="1" x14ac:dyDescent="0.25">
      <c r="A23" s="231"/>
      <c r="B23" s="243"/>
      <c r="C23" s="244" t="s">
        <v>28</v>
      </c>
      <c r="D23" s="245">
        <f>SUM(D9:D22)</f>
        <v>34653.74</v>
      </c>
      <c r="E23" s="245"/>
      <c r="F23" s="245">
        <f>SUM(F9:F22)</f>
        <v>34653.74</v>
      </c>
      <c r="G23" s="245"/>
      <c r="H23" s="245">
        <f>D23-F23</f>
        <v>0</v>
      </c>
      <c r="I23" s="239" t="s">
        <v>147</v>
      </c>
    </row>
    <row r="24" spans="1:9" ht="13.5" thickTop="1" x14ac:dyDescent="0.2">
      <c r="D24" s="236"/>
      <c r="E24" s="236"/>
      <c r="F24" s="236"/>
      <c r="G24" s="236"/>
      <c r="H24" s="236"/>
      <c r="I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52"/>
      <c r="D26" s="253"/>
      <c r="E26" s="253"/>
      <c r="F26" s="253"/>
      <c r="G26" s="253"/>
      <c r="H26" s="253"/>
      <c r="I26" s="254"/>
    </row>
    <row r="27" spans="1:9" x14ac:dyDescent="0.2">
      <c r="C27" s="252"/>
      <c r="D27" s="253"/>
      <c r="E27" s="253"/>
      <c r="F27" s="253"/>
      <c r="G27" s="253"/>
      <c r="H27" s="253"/>
      <c r="I27" s="254"/>
    </row>
    <row r="28" spans="1:9" x14ac:dyDescent="0.2">
      <c r="C28" s="252"/>
      <c r="D28" s="253"/>
      <c r="E28" s="253"/>
      <c r="F28" s="253"/>
      <c r="G28" s="253"/>
      <c r="H28" s="253"/>
      <c r="I28" s="254"/>
    </row>
    <row r="29" spans="1:9" x14ac:dyDescent="0.2">
      <c r="C29" s="252"/>
      <c r="D29" s="253"/>
      <c r="E29" s="253"/>
      <c r="F29" s="253"/>
      <c r="G29" s="253"/>
      <c r="H29" s="253"/>
      <c r="I29" s="254"/>
    </row>
    <row r="30" spans="1:9" x14ac:dyDescent="0.2">
      <c r="C30" s="252"/>
      <c r="D30" s="253"/>
      <c r="E30" s="253"/>
      <c r="F30" s="253"/>
      <c r="G30" s="253"/>
      <c r="H30" s="253"/>
      <c r="I30" s="254"/>
    </row>
    <row r="31" spans="1:9" x14ac:dyDescent="0.2">
      <c r="C31" s="252"/>
      <c r="D31" s="253"/>
      <c r="E31" s="253"/>
      <c r="F31" s="253"/>
      <c r="G31" s="253"/>
      <c r="H31" s="253"/>
      <c r="I31" s="254"/>
    </row>
    <row r="32" spans="1:9" x14ac:dyDescent="0.2">
      <c r="C32" s="252"/>
      <c r="D32" s="255"/>
      <c r="E32" s="253"/>
      <c r="F32" s="255"/>
      <c r="G32" s="253"/>
      <c r="H32" s="255"/>
      <c r="I32" s="254"/>
    </row>
    <row r="33" spans="3:9" x14ac:dyDescent="0.2">
      <c r="C33" s="252"/>
      <c r="D33" s="254"/>
      <c r="E33" s="246"/>
      <c r="F33" s="256"/>
      <c r="G33" s="256"/>
      <c r="H33" s="254"/>
      <c r="I33" s="254"/>
    </row>
    <row r="34" spans="3:9" x14ac:dyDescent="0.2">
      <c r="C34" s="252"/>
      <c r="D34" s="254"/>
      <c r="E34" s="246"/>
      <c r="F34" s="256"/>
      <c r="G34" s="256"/>
      <c r="H34" s="254"/>
      <c r="I34" s="254"/>
    </row>
    <row r="35" spans="3:9" x14ac:dyDescent="0.2">
      <c r="E35" s="248"/>
    </row>
    <row r="36" spans="3:9" x14ac:dyDescent="0.2">
      <c r="E36" s="248"/>
    </row>
    <row r="37" spans="3:9" x14ac:dyDescent="0.2">
      <c r="E37" s="248"/>
    </row>
    <row r="38" spans="3:9" x14ac:dyDescent="0.2">
      <c r="E38" s="248"/>
    </row>
    <row r="39" spans="3:9" x14ac:dyDescent="0.2">
      <c r="E39" s="248"/>
    </row>
    <row r="40" spans="3:9" x14ac:dyDescent="0.2">
      <c r="E40" s="248"/>
    </row>
    <row r="41" spans="3:9" x14ac:dyDescent="0.2">
      <c r="E41" s="248"/>
    </row>
    <row r="42" spans="3:9" x14ac:dyDescent="0.2">
      <c r="E42" s="248"/>
    </row>
    <row r="43" spans="3:9" x14ac:dyDescent="0.2">
      <c r="E43" s="248"/>
    </row>
    <row r="44" spans="3:9" x14ac:dyDescent="0.2">
      <c r="E44" s="248"/>
    </row>
    <row r="45" spans="3:9" x14ac:dyDescent="0.2">
      <c r="E45" s="248"/>
    </row>
    <row r="46" spans="3:9" x14ac:dyDescent="0.2">
      <c r="E46" s="248"/>
    </row>
    <row r="47" spans="3:9" x14ac:dyDescent="0.2">
      <c r="E47" s="248"/>
    </row>
    <row r="48" spans="3:9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  <row r="628" spans="5:5" x14ac:dyDescent="0.2">
      <c r="E628" s="248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topLeftCell="A13" zoomScaleNormal="100" workbookViewId="0">
      <selection activeCell="B17" sqref="B1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0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7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58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198</v>
      </c>
      <c r="B10" s="66">
        <v>45694</v>
      </c>
      <c r="C10" s="61" t="s">
        <v>199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09"/>
    </row>
    <row r="11" spans="1:9" x14ac:dyDescent="0.2">
      <c r="A11" s="59" t="s">
        <v>205</v>
      </c>
      <c r="B11" s="60">
        <v>45722</v>
      </c>
      <c r="C11" s="61" t="s">
        <v>206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0"/>
    </row>
    <row r="12" spans="1:9" x14ac:dyDescent="0.2">
      <c r="A12" s="59" t="s">
        <v>218</v>
      </c>
      <c r="B12" s="60">
        <v>45755</v>
      </c>
      <c r="C12" s="61" t="s">
        <v>219</v>
      </c>
      <c r="D12" s="63"/>
      <c r="E12" s="63">
        <f t="shared" si="0"/>
        <v>65217.8</v>
      </c>
      <c r="F12" s="203">
        <v>9413.08</v>
      </c>
      <c r="G12" s="64">
        <f t="shared" si="1"/>
        <v>19955.849999999999</v>
      </c>
      <c r="H12" s="64">
        <f t="shared" si="2"/>
        <v>45261.95</v>
      </c>
      <c r="I12" s="209"/>
    </row>
    <row r="13" spans="1:9" x14ac:dyDescent="0.2">
      <c r="A13" s="59" t="s">
        <v>220</v>
      </c>
      <c r="B13" s="60">
        <v>45785</v>
      </c>
      <c r="C13" s="61" t="s">
        <v>221</v>
      </c>
      <c r="D13" s="63"/>
      <c r="E13" s="63">
        <f t="shared" si="0"/>
        <v>65217.8</v>
      </c>
      <c r="F13" s="203">
        <v>3953.73</v>
      </c>
      <c r="G13" s="64">
        <f t="shared" si="1"/>
        <v>23909.579999999998</v>
      </c>
      <c r="H13" s="64">
        <f t="shared" si="2"/>
        <v>41308.219999999994</v>
      </c>
      <c r="I13" s="250"/>
    </row>
    <row r="14" spans="1:9" x14ac:dyDescent="0.2">
      <c r="A14" s="59" t="s">
        <v>236</v>
      </c>
      <c r="B14" s="60">
        <v>45820</v>
      </c>
      <c r="C14" s="61" t="s">
        <v>237</v>
      </c>
      <c r="D14" s="63"/>
      <c r="E14" s="63">
        <f t="shared" si="0"/>
        <v>65217.8</v>
      </c>
      <c r="F14" s="203">
        <v>7513.53</v>
      </c>
      <c r="G14" s="64">
        <f t="shared" si="1"/>
        <v>31423.109999999997</v>
      </c>
      <c r="H14" s="64">
        <f t="shared" si="2"/>
        <v>33794.689999999995</v>
      </c>
      <c r="I14" s="250"/>
    </row>
    <row r="15" spans="1:9" x14ac:dyDescent="0.2">
      <c r="A15" s="290" t="s">
        <v>238</v>
      </c>
      <c r="B15" s="291">
        <v>45846</v>
      </c>
      <c r="C15" s="292" t="s">
        <v>239</v>
      </c>
      <c r="D15" s="293"/>
      <c r="E15" s="293">
        <f t="shared" si="0"/>
        <v>65217.8</v>
      </c>
      <c r="F15" s="294">
        <v>8117.84</v>
      </c>
      <c r="G15" s="295">
        <f t="shared" si="1"/>
        <v>39540.949999999997</v>
      </c>
      <c r="H15" s="295">
        <f t="shared" si="2"/>
        <v>25676.849999999995</v>
      </c>
      <c r="I15" s="296" t="s">
        <v>254</v>
      </c>
    </row>
    <row r="16" spans="1:9" x14ac:dyDescent="0.2">
      <c r="A16" s="59" t="s">
        <v>255</v>
      </c>
      <c r="B16" s="60">
        <v>45890</v>
      </c>
      <c r="C16" s="61" t="s">
        <v>253</v>
      </c>
      <c r="D16" s="202">
        <v>0</v>
      </c>
      <c r="E16" s="63">
        <f t="shared" si="0"/>
        <v>65217.8</v>
      </c>
      <c r="F16" s="67"/>
      <c r="G16" s="64">
        <f t="shared" si="1"/>
        <v>39540.949999999997</v>
      </c>
      <c r="H16" s="64">
        <f t="shared" si="2"/>
        <v>25676.849999999995</v>
      </c>
      <c r="I16" s="250"/>
    </row>
    <row r="17" spans="1:9" x14ac:dyDescent="0.2">
      <c r="A17" s="297"/>
      <c r="B17" s="289" t="s">
        <v>257</v>
      </c>
      <c r="C17" s="63"/>
      <c r="D17" s="63"/>
      <c r="E17" s="63">
        <f t="shared" si="0"/>
        <v>65217.8</v>
      </c>
      <c r="F17" s="67"/>
      <c r="G17" s="64">
        <f t="shared" si="1"/>
        <v>39540.949999999997</v>
      </c>
      <c r="H17" s="64">
        <f t="shared" si="2"/>
        <v>25676.849999999995</v>
      </c>
      <c r="I17" s="250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39540.949999999997</v>
      </c>
      <c r="H18" s="64">
        <f t="shared" si="2"/>
        <v>25676.849999999995</v>
      </c>
      <c r="I18" s="250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39540.949999999997</v>
      </c>
      <c r="H19" s="64">
        <f t="shared" si="2"/>
        <v>25676.849999999995</v>
      </c>
      <c r="I19" s="250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39540.949999999997</v>
      </c>
      <c r="H20" s="64">
        <f t="shared" si="2"/>
        <v>25676.849999999995</v>
      </c>
      <c r="I20" s="250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39540.949999999997</v>
      </c>
      <c r="H21" s="64">
        <f t="shared" si="2"/>
        <v>25676.849999999995</v>
      </c>
      <c r="I21" s="250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0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39540.949999999997</v>
      </c>
      <c r="G23" s="72"/>
      <c r="H23" s="72">
        <f>D23-F23</f>
        <v>25676.850000000006</v>
      </c>
      <c r="I23" s="250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0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1157.03+701.49+2360.3+4686.62+5706.46</f>
        <v>14611.899999999998</v>
      </c>
      <c r="G26" s="64"/>
      <c r="H26" s="64">
        <f>D26-F26</f>
        <v>10360.530000000002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4000+1866.53+500+2000+1411.02</f>
        <v>9777.5499999999993</v>
      </c>
      <c r="G28" s="64"/>
      <c r="H28" s="64">
        <f>D28-F28</f>
        <v>0</v>
      </c>
      <c r="I28" s="206"/>
    </row>
    <row r="29" spans="1:9" ht="13.5" thickBot="1" x14ac:dyDescent="0.25">
      <c r="A29" s="73"/>
      <c r="B29" s="61"/>
      <c r="C29" s="96" t="s">
        <v>225</v>
      </c>
      <c r="D29" s="72">
        <f>SUM(D26:D28)</f>
        <v>37249.979999999996</v>
      </c>
      <c r="E29" s="64"/>
      <c r="F29" s="72">
        <f>SUM(F26:F28)</f>
        <v>24389.449999999997</v>
      </c>
      <c r="G29" s="64"/>
      <c r="H29" s="72">
        <f>SUM(H26:H28)</f>
        <v>12860.530000000002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1777.66+1040.06+9413.08+1093.43+826.91+1000.36</f>
        <v>15151.5</v>
      </c>
      <c r="G31" s="64"/>
      <c r="H31" s="64">
        <f>D31-F31</f>
        <v>12616.32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225</v>
      </c>
      <c r="D33" s="72">
        <f>SUM(D30:D32)</f>
        <v>27967.82</v>
      </c>
      <c r="E33" s="64"/>
      <c r="F33" s="72">
        <f>SUM(F30:F32)</f>
        <v>15151.5</v>
      </c>
      <c r="G33" s="64"/>
      <c r="H33" s="72">
        <f>SUM(H30:H32)</f>
        <v>12816.32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226</v>
      </c>
      <c r="D35" s="72">
        <f>D29+D33</f>
        <v>65217.799999999996</v>
      </c>
      <c r="E35" s="74"/>
      <c r="F35" s="72">
        <f>F29+F33</f>
        <v>39540.949999999997</v>
      </c>
      <c r="G35" s="75"/>
      <c r="H35" s="72">
        <f>H29+H33</f>
        <v>25676.850000000002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J629"/>
  <sheetViews>
    <sheetView topLeftCell="A10" zoomScaleNormal="100" workbookViewId="0">
      <selection activeCell="B18" sqref="B18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3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6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10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10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10" s="35" customFormat="1" ht="15.75" x14ac:dyDescent="0.25">
      <c r="A4" s="36" t="s">
        <v>183</v>
      </c>
      <c r="B4" s="37"/>
      <c r="C4" s="38"/>
      <c r="D4" s="39" t="s">
        <v>185</v>
      </c>
      <c r="E4" s="40"/>
      <c r="F4" s="34"/>
      <c r="G4" s="34"/>
    </row>
    <row r="5" spans="1:10" s="35" customFormat="1" ht="15.75" x14ac:dyDescent="0.25">
      <c r="A5" s="41" t="s">
        <v>184</v>
      </c>
      <c r="B5" s="42"/>
      <c r="C5" s="43"/>
      <c r="D5" s="44" t="s">
        <v>186</v>
      </c>
      <c r="E5" s="45"/>
      <c r="F5" s="46"/>
      <c r="G5" s="47"/>
      <c r="H5" s="42"/>
    </row>
    <row r="6" spans="1:10" s="35" customFormat="1" ht="15.75" x14ac:dyDescent="0.25">
      <c r="A6" s="13" t="str">
        <f>'RECAP #9420.00'!B6</f>
        <v>Project Manager - James T.</v>
      </c>
      <c r="B6" s="11"/>
      <c r="C6" s="48"/>
      <c r="D6" s="49" t="s">
        <v>187</v>
      </c>
      <c r="E6" s="50"/>
      <c r="F6" s="51"/>
      <c r="G6" s="47"/>
      <c r="H6" s="42"/>
    </row>
    <row r="7" spans="1:10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58"/>
    </row>
    <row r="9" spans="1:10" x14ac:dyDescent="0.2">
      <c r="A9" s="59" t="s">
        <v>188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10" x14ac:dyDescent="0.2">
      <c r="A10" s="59" t="s">
        <v>210</v>
      </c>
      <c r="B10" s="66">
        <v>45727</v>
      </c>
      <c r="C10" s="61" t="s">
        <v>211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09"/>
    </row>
    <row r="11" spans="1:10" x14ac:dyDescent="0.2">
      <c r="A11" s="59" t="s">
        <v>234</v>
      </c>
      <c r="B11" s="278">
        <v>45818</v>
      </c>
      <c r="C11" s="279" t="s">
        <v>235</v>
      </c>
      <c r="D11" s="282"/>
      <c r="E11" s="280">
        <f t="shared" si="0"/>
        <v>73864</v>
      </c>
      <c r="F11" s="283">
        <v>3906.34</v>
      </c>
      <c r="G11" s="205">
        <f t="shared" si="1"/>
        <v>39131.14</v>
      </c>
      <c r="H11" s="205">
        <f t="shared" si="2"/>
        <v>34732.86</v>
      </c>
      <c r="I11" s="281" t="s">
        <v>254</v>
      </c>
      <c r="J11" s="206"/>
    </row>
    <row r="12" spans="1:10" x14ac:dyDescent="0.2">
      <c r="A12" s="298" t="s">
        <v>256</v>
      </c>
      <c r="B12" s="299">
        <v>45890</v>
      </c>
      <c r="C12" s="300" t="s">
        <v>253</v>
      </c>
      <c r="D12" s="301">
        <v>0</v>
      </c>
      <c r="E12" s="302">
        <f t="shared" si="0"/>
        <v>73864</v>
      </c>
      <c r="F12" s="303"/>
      <c r="G12" s="304">
        <f t="shared" si="1"/>
        <v>39131.14</v>
      </c>
      <c r="H12" s="304">
        <f t="shared" si="2"/>
        <v>34732.86</v>
      </c>
      <c r="I12" s="305"/>
    </row>
    <row r="13" spans="1:10" x14ac:dyDescent="0.2">
      <c r="A13" s="297"/>
      <c r="B13" s="289" t="s">
        <v>257</v>
      </c>
      <c r="C13" s="63"/>
      <c r="D13" s="63"/>
      <c r="E13" s="63">
        <f t="shared" si="0"/>
        <v>73864</v>
      </c>
      <c r="F13" s="67"/>
      <c r="G13" s="64">
        <f t="shared" si="1"/>
        <v>39131.14</v>
      </c>
      <c r="H13" s="64">
        <f t="shared" si="2"/>
        <v>34732.86</v>
      </c>
      <c r="I13" s="250"/>
    </row>
    <row r="14" spans="1:10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39131.14</v>
      </c>
      <c r="H14" s="64">
        <f t="shared" si="2"/>
        <v>34732.86</v>
      </c>
      <c r="I14" s="250"/>
    </row>
    <row r="15" spans="1:10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39131.14</v>
      </c>
      <c r="H15" s="64">
        <f t="shared" si="2"/>
        <v>34732.86</v>
      </c>
      <c r="I15" s="250"/>
    </row>
    <row r="16" spans="1:10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39131.14</v>
      </c>
      <c r="H16" s="64">
        <f t="shared" si="2"/>
        <v>34732.86</v>
      </c>
      <c r="I16" s="250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39131.14</v>
      </c>
      <c r="H17" s="64">
        <f t="shared" si="2"/>
        <v>34732.86</v>
      </c>
      <c r="I17" s="250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39131.14</v>
      </c>
      <c r="H18" s="64">
        <f t="shared" si="2"/>
        <v>34732.86</v>
      </c>
      <c r="I18" s="250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39131.14</v>
      </c>
      <c r="H19" s="64">
        <f t="shared" si="2"/>
        <v>34732.86</v>
      </c>
      <c r="I19" s="250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39131.14</v>
      </c>
      <c r="H20" s="64">
        <f t="shared" si="2"/>
        <v>34732.86</v>
      </c>
      <c r="I20" s="250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39131.14</v>
      </c>
      <c r="H21" s="64">
        <f t="shared" si="2"/>
        <v>34732.86</v>
      </c>
      <c r="I21" s="250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0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39131.14</v>
      </c>
      <c r="G23" s="72"/>
      <c r="H23" s="72">
        <f>D23-F23</f>
        <v>34732.86</v>
      </c>
      <c r="I23" s="250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0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189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190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191</v>
      </c>
      <c r="D28" s="64">
        <v>34020</v>
      </c>
      <c r="E28" s="64"/>
      <c r="F28" s="64">
        <f>24020.8+3906.34</f>
        <v>27927.14</v>
      </c>
      <c r="G28" s="64"/>
      <c r="H28" s="64">
        <f>D28-F28</f>
        <v>6092.8600000000006</v>
      </c>
      <c r="I28" s="206"/>
    </row>
    <row r="29" spans="1:9" x14ac:dyDescent="0.2">
      <c r="A29" s="73"/>
      <c r="B29" s="61"/>
      <c r="C29" s="69" t="s">
        <v>192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212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193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225</v>
      </c>
      <c r="D32" s="72">
        <f>SUM(D26:D31)</f>
        <v>73864</v>
      </c>
      <c r="E32" s="64"/>
      <c r="F32" s="72">
        <f>SUM(F26:F28)</f>
        <v>39131.14</v>
      </c>
      <c r="G32" s="64"/>
      <c r="H32" s="72">
        <f>SUM(H26:H31)</f>
        <v>34732.86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3"/>
      <c r="D36" s="264"/>
      <c r="E36" s="205"/>
      <c r="F36" s="264"/>
      <c r="G36" s="205"/>
      <c r="H36" s="264"/>
    </row>
    <row r="37" spans="1:9" x14ac:dyDescent="0.2">
      <c r="A37" s="73"/>
      <c r="B37" s="61"/>
      <c r="C37" s="204"/>
      <c r="D37" s="265"/>
      <c r="E37" s="73"/>
      <c r="F37" s="266"/>
      <c r="G37" s="266"/>
      <c r="H37" s="265"/>
    </row>
    <row r="38" spans="1:9" x14ac:dyDescent="0.2">
      <c r="A38" s="73"/>
      <c r="B38" s="61"/>
      <c r="C38" s="263"/>
      <c r="D38" s="264"/>
      <c r="E38" s="73"/>
      <c r="F38" s="264"/>
      <c r="G38" s="266"/>
      <c r="H38" s="264"/>
    </row>
    <row r="39" spans="1:9" x14ac:dyDescent="0.2">
      <c r="A39" s="73"/>
      <c r="B39" s="61"/>
      <c r="C39" s="204"/>
      <c r="D39" s="265"/>
      <c r="E39" s="73"/>
      <c r="F39" s="266"/>
      <c r="G39" s="266"/>
      <c r="H39" s="26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6FF-87C1-4D4F-8607-8A68D557EBE2}">
  <sheetPr>
    <tabColor rgb="FF0070C0"/>
    <pageSetUpPr fitToPage="1"/>
  </sheetPr>
  <dimension ref="A1:I629"/>
  <sheetViews>
    <sheetView zoomScaleNormal="100" workbookViewId="0">
      <selection activeCell="C15" sqref="C15"/>
    </sheetView>
  </sheetViews>
  <sheetFormatPr defaultColWidth="11.42578125" defaultRowHeight="12.75" x14ac:dyDescent="0.2"/>
  <cols>
    <col min="1" max="1" width="23.28515625" style="246" customWidth="1"/>
    <col min="2" max="2" width="9.42578125" style="233" customWidth="1"/>
    <col min="3" max="3" width="28.4257812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2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222</v>
      </c>
      <c r="B4" s="37"/>
      <c r="D4" s="218" t="s">
        <v>111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112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84" t="s">
        <v>125</v>
      </c>
    </row>
    <row r="9" spans="1:9" x14ac:dyDescent="0.2">
      <c r="A9" s="231" t="s">
        <v>223</v>
      </c>
      <c r="B9" s="232">
        <v>45785</v>
      </c>
      <c r="C9" s="233" t="s">
        <v>82</v>
      </c>
      <c r="D9" s="234">
        <v>35155.040000000001</v>
      </c>
      <c r="E9" s="235">
        <f>D9</f>
        <v>35155.040000000001</v>
      </c>
      <c r="F9" s="238"/>
      <c r="G9" s="236"/>
      <c r="H9" s="236">
        <f>E9</f>
        <v>35155.040000000001</v>
      </c>
    </row>
    <row r="10" spans="1:9" x14ac:dyDescent="0.2">
      <c r="A10" s="231" t="s">
        <v>243</v>
      </c>
      <c r="B10" s="237">
        <v>45853</v>
      </c>
      <c r="C10" s="233" t="s">
        <v>244</v>
      </c>
      <c r="D10" s="234"/>
      <c r="E10" s="235">
        <f t="shared" ref="E10:E21" si="0">E9+D10</f>
        <v>35155.040000000001</v>
      </c>
      <c r="F10" s="285">
        <v>28811.74</v>
      </c>
      <c r="G10" s="236">
        <f t="shared" ref="G10:G21" si="1">G9+F10</f>
        <v>28811.74</v>
      </c>
      <c r="H10" s="236">
        <f t="shared" ref="H10:H21" si="2">H9-F10+D10</f>
        <v>6343.2999999999993</v>
      </c>
      <c r="I10" s="239">
        <f>28811.74/0.95*0.05</f>
        <v>1516.4073684210528</v>
      </c>
    </row>
    <row r="11" spans="1:9" x14ac:dyDescent="0.2">
      <c r="A11" s="231" t="s">
        <v>249</v>
      </c>
      <c r="B11" s="232">
        <v>45887</v>
      </c>
      <c r="C11" s="233" t="s">
        <v>250</v>
      </c>
      <c r="D11" s="240">
        <v>-4826.8900000000003</v>
      </c>
      <c r="E11" s="235">
        <f t="shared" si="0"/>
        <v>30328.15</v>
      </c>
      <c r="F11" s="238">
        <v>1516.41</v>
      </c>
      <c r="G11" s="236">
        <f t="shared" si="1"/>
        <v>30328.15</v>
      </c>
      <c r="H11" s="236">
        <f t="shared" si="2"/>
        <v>0</v>
      </c>
      <c r="I11" s="236"/>
    </row>
    <row r="12" spans="1:9" x14ac:dyDescent="0.2">
      <c r="A12" s="231"/>
      <c r="B12" s="232"/>
      <c r="C12" s="233"/>
      <c r="D12" s="286"/>
      <c r="E12" s="235">
        <f t="shared" si="0"/>
        <v>30328.15</v>
      </c>
      <c r="F12" s="238"/>
      <c r="G12" s="236">
        <f t="shared" si="1"/>
        <v>30328.15</v>
      </c>
      <c r="H12" s="236">
        <f t="shared" si="2"/>
        <v>0</v>
      </c>
      <c r="I12" s="239"/>
    </row>
    <row r="13" spans="1:9" x14ac:dyDescent="0.2">
      <c r="A13" s="231"/>
      <c r="B13" s="232"/>
      <c r="C13" s="233"/>
      <c r="D13" s="286"/>
      <c r="E13" s="235">
        <f t="shared" si="0"/>
        <v>30328.15</v>
      </c>
      <c r="F13" s="239"/>
      <c r="G13" s="236">
        <f t="shared" si="1"/>
        <v>30328.15</v>
      </c>
      <c r="H13" s="236">
        <f t="shared" si="2"/>
        <v>0</v>
      </c>
      <c r="I13" s="236"/>
    </row>
    <row r="14" spans="1:9" x14ac:dyDescent="0.2">
      <c r="A14" s="231"/>
      <c r="B14" s="232"/>
      <c r="C14" s="233"/>
      <c r="D14" s="235"/>
      <c r="E14" s="235">
        <f t="shared" si="0"/>
        <v>30328.15</v>
      </c>
      <c r="F14" s="236"/>
      <c r="G14" s="236">
        <f t="shared" si="1"/>
        <v>30328.15</v>
      </c>
      <c r="H14" s="236">
        <f t="shared" si="2"/>
        <v>0</v>
      </c>
      <c r="I14" s="236"/>
    </row>
    <row r="15" spans="1:9" x14ac:dyDescent="0.2">
      <c r="A15" s="231"/>
      <c r="B15" s="232"/>
      <c r="C15" s="233"/>
      <c r="D15" s="235"/>
      <c r="E15" s="235">
        <f t="shared" si="0"/>
        <v>30328.15</v>
      </c>
      <c r="F15" s="239"/>
      <c r="G15" s="236">
        <f t="shared" si="1"/>
        <v>30328.15</v>
      </c>
      <c r="H15" s="236">
        <f t="shared" si="2"/>
        <v>0</v>
      </c>
      <c r="I15" s="236"/>
    </row>
    <row r="16" spans="1:9" x14ac:dyDescent="0.2">
      <c r="A16" s="231"/>
      <c r="B16" s="232"/>
      <c r="C16" s="233"/>
      <c r="D16" s="235"/>
      <c r="E16" s="235">
        <f t="shared" si="0"/>
        <v>30328.15</v>
      </c>
      <c r="F16" s="239"/>
      <c r="G16" s="236">
        <f t="shared" si="1"/>
        <v>30328.15</v>
      </c>
      <c r="H16" s="236">
        <f t="shared" si="2"/>
        <v>0</v>
      </c>
      <c r="I16" s="236"/>
    </row>
    <row r="17" spans="1:9" x14ac:dyDescent="0.2">
      <c r="A17" s="231"/>
      <c r="B17" s="232"/>
      <c r="C17" s="233"/>
      <c r="D17" s="235"/>
      <c r="E17" s="235">
        <f t="shared" si="0"/>
        <v>30328.15</v>
      </c>
      <c r="F17" s="239"/>
      <c r="G17" s="236">
        <f t="shared" si="1"/>
        <v>30328.15</v>
      </c>
      <c r="H17" s="236">
        <f t="shared" si="2"/>
        <v>0</v>
      </c>
      <c r="I17" s="236"/>
    </row>
    <row r="18" spans="1:9" x14ac:dyDescent="0.2">
      <c r="A18" s="231"/>
      <c r="B18" s="232"/>
      <c r="C18" s="233"/>
      <c r="D18" s="235"/>
      <c r="E18" s="235">
        <f t="shared" si="0"/>
        <v>30328.15</v>
      </c>
      <c r="F18" s="239"/>
      <c r="G18" s="236">
        <f t="shared" si="1"/>
        <v>30328.15</v>
      </c>
      <c r="H18" s="236">
        <f t="shared" si="2"/>
        <v>0</v>
      </c>
      <c r="I18" s="236"/>
    </row>
    <row r="19" spans="1:9" x14ac:dyDescent="0.2">
      <c r="A19" s="231"/>
      <c r="B19" s="232"/>
      <c r="C19" s="233"/>
      <c r="D19" s="235"/>
      <c r="E19" s="235">
        <f t="shared" si="0"/>
        <v>30328.15</v>
      </c>
      <c r="F19" s="236"/>
      <c r="G19" s="236">
        <f t="shared" si="1"/>
        <v>30328.15</v>
      </c>
      <c r="H19" s="236">
        <f t="shared" si="2"/>
        <v>0</v>
      </c>
      <c r="I19" s="236"/>
    </row>
    <row r="20" spans="1:9" x14ac:dyDescent="0.2">
      <c r="A20" s="231"/>
      <c r="B20" s="232"/>
      <c r="C20" s="233"/>
      <c r="D20" s="235"/>
      <c r="E20" s="235">
        <f t="shared" si="0"/>
        <v>30328.15</v>
      </c>
      <c r="F20" s="236"/>
      <c r="G20" s="236">
        <f t="shared" si="1"/>
        <v>30328.15</v>
      </c>
      <c r="H20" s="236">
        <f t="shared" si="2"/>
        <v>0</v>
      </c>
      <c r="I20" s="236"/>
    </row>
    <row r="21" spans="1:9" x14ac:dyDescent="0.2">
      <c r="A21" s="231"/>
      <c r="B21" s="232"/>
      <c r="C21" s="241"/>
      <c r="D21" s="235"/>
      <c r="E21" s="235">
        <f t="shared" si="0"/>
        <v>30328.15</v>
      </c>
      <c r="F21" s="236"/>
      <c r="G21" s="236">
        <f t="shared" si="1"/>
        <v>30328.15</v>
      </c>
      <c r="H21" s="236">
        <f t="shared" si="2"/>
        <v>0</v>
      </c>
      <c r="I21" s="236"/>
    </row>
    <row r="22" spans="1:9" x14ac:dyDescent="0.2">
      <c r="A22" s="231"/>
      <c r="D22" s="236"/>
      <c r="E22" s="236"/>
      <c r="F22" s="236"/>
      <c r="G22" s="236"/>
      <c r="H22" s="236"/>
      <c r="I22" s="236"/>
    </row>
    <row r="23" spans="1:9" ht="13.5" thickBot="1" x14ac:dyDescent="0.25">
      <c r="A23" s="231"/>
      <c r="B23" s="243"/>
      <c r="C23" s="244" t="s">
        <v>28</v>
      </c>
      <c r="D23" s="245">
        <f>SUM(D9:D22)</f>
        <v>30328.15</v>
      </c>
      <c r="E23" s="245"/>
      <c r="F23" s="245">
        <f>SUM(F9:F22)</f>
        <v>30328.15</v>
      </c>
      <c r="G23" s="245"/>
      <c r="H23" s="245">
        <f>D23-F23</f>
        <v>0</v>
      </c>
      <c r="I23" s="239" t="s">
        <v>147</v>
      </c>
    </row>
    <row r="24" spans="1:9" ht="13.5" thickTop="1" x14ac:dyDescent="0.2">
      <c r="D24" s="236"/>
      <c r="E24" s="236"/>
      <c r="F24" s="236"/>
      <c r="G24" s="236"/>
      <c r="H24" s="236"/>
      <c r="I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42" t="s">
        <v>84</v>
      </c>
      <c r="D26" s="236">
        <f>5815.04</f>
        <v>5815.04</v>
      </c>
      <c r="E26" s="236"/>
      <c r="F26" s="236">
        <f>1884.65+3930.39</f>
        <v>5815.04</v>
      </c>
      <c r="G26" s="236"/>
      <c r="H26" s="236">
        <f>D26-F26</f>
        <v>0</v>
      </c>
      <c r="I26" s="254"/>
    </row>
    <row r="27" spans="1:9" x14ac:dyDescent="0.2">
      <c r="C27" s="242" t="s">
        <v>224</v>
      </c>
      <c r="D27" s="236">
        <f>29340-4826.89</f>
        <v>24513.11</v>
      </c>
      <c r="E27" s="236"/>
      <c r="F27" s="236">
        <f>28443.5-5446.8+1516.41</f>
        <v>24513.11</v>
      </c>
      <c r="G27" s="236"/>
      <c r="H27" s="236">
        <f>D27-F27</f>
        <v>0</v>
      </c>
      <c r="I27" s="254"/>
    </row>
    <row r="28" spans="1:9" ht="13.5" thickBot="1" x14ac:dyDescent="0.25">
      <c r="C28" s="247" t="s">
        <v>225</v>
      </c>
      <c r="D28" s="245">
        <f>SUM(D25:D27)</f>
        <v>30328.15</v>
      </c>
      <c r="E28" s="236"/>
      <c r="F28" s="245">
        <f>SUM(F25:F27)</f>
        <v>30328.15</v>
      </c>
      <c r="G28" s="236"/>
      <c r="H28" s="245">
        <f>SUM(H25:H27)</f>
        <v>0</v>
      </c>
      <c r="I28" s="254"/>
    </row>
    <row r="29" spans="1:9" ht="13.5" thickTop="1" x14ac:dyDescent="0.2">
      <c r="D29" s="236"/>
      <c r="E29" s="236"/>
      <c r="F29" s="236"/>
      <c r="G29" s="236"/>
      <c r="H29" s="236"/>
      <c r="I29" s="254"/>
    </row>
    <row r="30" spans="1:9" x14ac:dyDescent="0.2">
      <c r="D30" s="236"/>
      <c r="E30" s="236"/>
      <c r="F30" s="236"/>
      <c r="G30" s="236"/>
      <c r="H30" s="236"/>
      <c r="I30" s="254"/>
    </row>
    <row r="31" spans="1:9" x14ac:dyDescent="0.2">
      <c r="A31" s="277"/>
      <c r="D31" s="236"/>
      <c r="E31" s="236"/>
      <c r="F31" s="236"/>
      <c r="G31" s="236"/>
      <c r="H31" s="236"/>
      <c r="I31" s="254"/>
    </row>
    <row r="32" spans="1:9" x14ac:dyDescent="0.2">
      <c r="C32" s="247"/>
      <c r="D32" s="287"/>
      <c r="E32" s="253"/>
      <c r="F32" s="287"/>
      <c r="G32" s="253"/>
      <c r="H32" s="287"/>
      <c r="I32" s="254"/>
    </row>
    <row r="33" spans="3:9" x14ac:dyDescent="0.2">
      <c r="C33" s="252"/>
      <c r="D33" s="255"/>
      <c r="E33" s="253"/>
      <c r="F33" s="255"/>
      <c r="G33" s="253"/>
      <c r="H33" s="255"/>
      <c r="I33" s="254"/>
    </row>
    <row r="34" spans="3:9" x14ac:dyDescent="0.2">
      <c r="C34" s="252"/>
      <c r="D34" s="253"/>
      <c r="E34" s="253"/>
      <c r="F34" s="253"/>
      <c r="G34" s="253"/>
      <c r="H34" s="253"/>
      <c r="I34" s="254"/>
    </row>
    <row r="35" spans="3:9" x14ac:dyDescent="0.2">
      <c r="C35" s="252"/>
      <c r="D35" s="253"/>
      <c r="E35" s="253"/>
      <c r="F35" s="253"/>
      <c r="G35" s="253"/>
      <c r="H35" s="253"/>
      <c r="I35" s="254"/>
    </row>
    <row r="36" spans="3:9" x14ac:dyDescent="0.2">
      <c r="C36" s="288"/>
      <c r="D36" s="287"/>
      <c r="E36" s="253"/>
      <c r="F36" s="287"/>
      <c r="G36" s="253"/>
      <c r="H36" s="287"/>
    </row>
    <row r="37" spans="3:9" x14ac:dyDescent="0.2">
      <c r="C37" s="252"/>
      <c r="D37" s="254"/>
      <c r="E37" s="246"/>
      <c r="F37" s="256"/>
      <c r="G37" s="256"/>
      <c r="H37" s="254"/>
    </row>
    <row r="38" spans="3:9" x14ac:dyDescent="0.2">
      <c r="C38" s="288"/>
      <c r="D38" s="287"/>
      <c r="E38" s="246"/>
      <c r="F38" s="287"/>
      <c r="G38" s="256"/>
      <c r="H38" s="287"/>
    </row>
    <row r="39" spans="3:9" x14ac:dyDescent="0.2">
      <c r="C39" s="252"/>
      <c r="D39" s="254"/>
      <c r="E39" s="246"/>
      <c r="F39" s="256"/>
      <c r="G39" s="256"/>
      <c r="H39" s="254"/>
    </row>
    <row r="40" spans="3:9" x14ac:dyDescent="0.2">
      <c r="E40" s="248"/>
    </row>
    <row r="41" spans="3:9" x14ac:dyDescent="0.2">
      <c r="E41" s="248"/>
    </row>
    <row r="42" spans="3:9" x14ac:dyDescent="0.2">
      <c r="E42" s="248"/>
    </row>
    <row r="43" spans="3:9" x14ac:dyDescent="0.2">
      <c r="E43" s="248"/>
    </row>
    <row r="44" spans="3:9" x14ac:dyDescent="0.2">
      <c r="E44" s="248"/>
    </row>
    <row r="45" spans="3:9" x14ac:dyDescent="0.2">
      <c r="E45" s="248"/>
    </row>
    <row r="46" spans="3:9" x14ac:dyDescent="0.2">
      <c r="E46" s="248"/>
    </row>
    <row r="47" spans="3:9" x14ac:dyDescent="0.2">
      <c r="E47" s="248"/>
    </row>
    <row r="48" spans="3:9" x14ac:dyDescent="0.2">
      <c r="E48" s="248"/>
    </row>
    <row r="49" spans="1:9" x14ac:dyDescent="0.2">
      <c r="E49" s="248"/>
    </row>
    <row r="50" spans="1:9" s="249" customFormat="1" x14ac:dyDescent="0.2">
      <c r="A50" s="246"/>
      <c r="B50" s="233"/>
      <c r="C50" s="242"/>
      <c r="D50" s="50"/>
      <c r="E50" s="248"/>
      <c r="H50" s="50"/>
      <c r="I50" s="50"/>
    </row>
    <row r="51" spans="1:9" s="249" customFormat="1" x14ac:dyDescent="0.2">
      <c r="A51" s="246"/>
      <c r="B51" s="233"/>
      <c r="C51" s="242"/>
      <c r="D51" s="50"/>
      <c r="E51" s="248"/>
      <c r="H51" s="50"/>
      <c r="I51" s="50"/>
    </row>
    <row r="52" spans="1:9" s="249" customFormat="1" x14ac:dyDescent="0.2">
      <c r="A52" s="246"/>
      <c r="B52" s="233"/>
      <c r="C52" s="242"/>
      <c r="D52" s="50"/>
      <c r="E52" s="248"/>
      <c r="H52" s="50"/>
      <c r="I52" s="50"/>
    </row>
    <row r="53" spans="1:9" s="249" customFormat="1" x14ac:dyDescent="0.2">
      <c r="A53" s="246"/>
      <c r="B53" s="233"/>
      <c r="C53" s="242"/>
      <c r="D53" s="50"/>
      <c r="E53" s="248"/>
      <c r="H53" s="50"/>
      <c r="I53" s="50"/>
    </row>
    <row r="54" spans="1:9" s="249" customFormat="1" x14ac:dyDescent="0.2">
      <c r="A54" s="246"/>
      <c r="B54" s="233"/>
      <c r="C54" s="242"/>
      <c r="D54" s="50"/>
      <c r="E54" s="248"/>
      <c r="H54" s="50"/>
      <c r="I54" s="50"/>
    </row>
    <row r="55" spans="1:9" s="249" customFormat="1" x14ac:dyDescent="0.2">
      <c r="A55" s="246"/>
      <c r="B55" s="233"/>
      <c r="C55" s="242"/>
      <c r="D55" s="50"/>
      <c r="E55" s="248"/>
      <c r="H55" s="50"/>
      <c r="I55" s="50"/>
    </row>
    <row r="56" spans="1:9" s="249" customFormat="1" x14ac:dyDescent="0.2">
      <c r="A56" s="246"/>
      <c r="B56" s="233"/>
      <c r="C56" s="242"/>
      <c r="D56" s="50"/>
      <c r="E56" s="248"/>
      <c r="H56" s="50"/>
      <c r="I56" s="50"/>
    </row>
    <row r="57" spans="1:9" s="249" customFormat="1" x14ac:dyDescent="0.2">
      <c r="A57" s="246"/>
      <c r="B57" s="233"/>
      <c r="C57" s="242"/>
      <c r="D57" s="50"/>
      <c r="E57" s="248"/>
      <c r="H57" s="50"/>
      <c r="I57" s="50"/>
    </row>
    <row r="58" spans="1:9" s="249" customFormat="1" x14ac:dyDescent="0.2">
      <c r="A58" s="246"/>
      <c r="B58" s="233"/>
      <c r="C58" s="242"/>
      <c r="D58" s="50"/>
      <c r="E58" s="248"/>
      <c r="H58" s="50"/>
      <c r="I58" s="50"/>
    </row>
    <row r="59" spans="1:9" s="249" customFormat="1" x14ac:dyDescent="0.2">
      <c r="A59" s="246"/>
      <c r="B59" s="233"/>
      <c r="C59" s="242"/>
      <c r="D59" s="50"/>
      <c r="E59" s="248"/>
      <c r="H59" s="50"/>
      <c r="I59" s="50"/>
    </row>
    <row r="60" spans="1:9" s="249" customFormat="1" x14ac:dyDescent="0.2">
      <c r="A60" s="246"/>
      <c r="B60" s="233"/>
      <c r="C60" s="242"/>
      <c r="D60" s="50"/>
      <c r="E60" s="248"/>
      <c r="H60" s="50"/>
      <c r="I60" s="50"/>
    </row>
    <row r="61" spans="1:9" s="249" customFormat="1" x14ac:dyDescent="0.2">
      <c r="A61" s="246"/>
      <c r="B61" s="233"/>
      <c r="C61" s="242"/>
      <c r="D61" s="50"/>
      <c r="E61" s="248"/>
      <c r="H61" s="50"/>
      <c r="I61" s="50"/>
    </row>
    <row r="62" spans="1:9" s="249" customFormat="1" x14ac:dyDescent="0.2">
      <c r="A62" s="246"/>
      <c r="B62" s="233"/>
      <c r="C62" s="242"/>
      <c r="D62" s="50"/>
      <c r="E62" s="248"/>
      <c r="H62" s="50"/>
      <c r="I62" s="50"/>
    </row>
    <row r="63" spans="1:9" s="249" customFormat="1" x14ac:dyDescent="0.2">
      <c r="A63" s="246"/>
      <c r="B63" s="233"/>
      <c r="C63" s="242"/>
      <c r="D63" s="50"/>
      <c r="E63" s="248"/>
      <c r="H63" s="50"/>
      <c r="I63" s="50"/>
    </row>
    <row r="64" spans="1:9" s="249" customFormat="1" x14ac:dyDescent="0.2">
      <c r="A64" s="246"/>
      <c r="B64" s="233"/>
      <c r="C64" s="242"/>
      <c r="D64" s="50"/>
      <c r="E64" s="248"/>
      <c r="H64" s="50"/>
      <c r="I64" s="50"/>
    </row>
    <row r="65" spans="1:9" s="249" customFormat="1" x14ac:dyDescent="0.2">
      <c r="A65" s="246"/>
      <c r="B65" s="233"/>
      <c r="C65" s="242"/>
      <c r="D65" s="50"/>
      <c r="E65" s="248"/>
      <c r="H65" s="50"/>
      <c r="I65" s="50"/>
    </row>
    <row r="66" spans="1:9" s="249" customFormat="1" x14ac:dyDescent="0.2">
      <c r="A66" s="246"/>
      <c r="B66" s="233"/>
      <c r="C66" s="242"/>
      <c r="D66" s="50"/>
      <c r="E66" s="248"/>
      <c r="H66" s="50"/>
      <c r="I66" s="50"/>
    </row>
    <row r="67" spans="1:9" s="249" customFormat="1" x14ac:dyDescent="0.2">
      <c r="A67" s="246"/>
      <c r="B67" s="233"/>
      <c r="C67" s="242"/>
      <c r="D67" s="50"/>
      <c r="E67" s="248"/>
      <c r="H67" s="50"/>
      <c r="I67" s="50"/>
    </row>
    <row r="68" spans="1:9" s="249" customFormat="1" x14ac:dyDescent="0.2">
      <c r="A68" s="246"/>
      <c r="B68" s="233"/>
      <c r="C68" s="242"/>
      <c r="D68" s="50"/>
      <c r="E68" s="248"/>
      <c r="H68" s="50"/>
      <c r="I68" s="50"/>
    </row>
    <row r="69" spans="1:9" s="249" customFormat="1" x14ac:dyDescent="0.2">
      <c r="A69" s="246"/>
      <c r="B69" s="233"/>
      <c r="C69" s="242"/>
      <c r="D69" s="50"/>
      <c r="E69" s="248"/>
      <c r="H69" s="50"/>
      <c r="I69" s="50"/>
    </row>
    <row r="70" spans="1:9" s="249" customFormat="1" x14ac:dyDescent="0.2">
      <c r="A70" s="246"/>
      <c r="B70" s="233"/>
      <c r="C70" s="242"/>
      <c r="D70" s="50"/>
      <c r="E70" s="248"/>
      <c r="H70" s="50"/>
      <c r="I70" s="50"/>
    </row>
    <row r="71" spans="1:9" s="249" customFormat="1" x14ac:dyDescent="0.2">
      <c r="A71" s="246"/>
      <c r="B71" s="233"/>
      <c r="C71" s="242"/>
      <c r="D71" s="50"/>
      <c r="E71" s="248"/>
      <c r="H71" s="50"/>
      <c r="I71" s="50"/>
    </row>
    <row r="72" spans="1:9" s="249" customFormat="1" x14ac:dyDescent="0.2">
      <c r="A72" s="246"/>
      <c r="B72" s="233"/>
      <c r="C72" s="242"/>
      <c r="D72" s="50"/>
      <c r="E72" s="248"/>
      <c r="H72" s="50"/>
      <c r="I72" s="50"/>
    </row>
    <row r="73" spans="1:9" s="249" customFormat="1" x14ac:dyDescent="0.2">
      <c r="A73" s="246"/>
      <c r="B73" s="233"/>
      <c r="C73" s="242"/>
      <c r="D73" s="50"/>
      <c r="E73" s="248"/>
      <c r="H73" s="50"/>
      <c r="I73" s="50"/>
    </row>
    <row r="74" spans="1:9" s="249" customFormat="1" x14ac:dyDescent="0.2">
      <c r="A74" s="246"/>
      <c r="B74" s="233"/>
      <c r="C74" s="242"/>
      <c r="D74" s="50"/>
      <c r="E74" s="248"/>
      <c r="H74" s="50"/>
      <c r="I74" s="50"/>
    </row>
    <row r="75" spans="1:9" s="249" customFormat="1" x14ac:dyDescent="0.2">
      <c r="A75" s="246"/>
      <c r="B75" s="233"/>
      <c r="C75" s="242"/>
      <c r="D75" s="50"/>
      <c r="E75" s="248"/>
      <c r="H75" s="50"/>
      <c r="I75" s="50"/>
    </row>
    <row r="76" spans="1:9" s="249" customFormat="1" x14ac:dyDescent="0.2">
      <c r="A76" s="246"/>
      <c r="B76" s="233"/>
      <c r="C76" s="242"/>
      <c r="D76" s="50"/>
      <c r="E76" s="248"/>
      <c r="H76" s="50"/>
      <c r="I76" s="50"/>
    </row>
    <row r="77" spans="1:9" s="249" customFormat="1" x14ac:dyDescent="0.2">
      <c r="A77" s="246"/>
      <c r="B77" s="233"/>
      <c r="C77" s="242"/>
      <c r="D77" s="50"/>
      <c r="E77" s="248"/>
      <c r="H77" s="50"/>
      <c r="I77" s="50"/>
    </row>
    <row r="78" spans="1:9" s="249" customFormat="1" x14ac:dyDescent="0.2">
      <c r="A78" s="246"/>
      <c r="B78" s="233"/>
      <c r="C78" s="242"/>
      <c r="D78" s="50"/>
      <c r="E78" s="248"/>
      <c r="H78" s="50"/>
      <c r="I78" s="50"/>
    </row>
    <row r="79" spans="1:9" s="249" customFormat="1" x14ac:dyDescent="0.2">
      <c r="A79" s="246"/>
      <c r="B79" s="233"/>
      <c r="C79" s="242"/>
      <c r="D79" s="50"/>
      <c r="E79" s="248"/>
      <c r="H79" s="50"/>
      <c r="I79" s="50"/>
    </row>
    <row r="80" spans="1:9" s="249" customFormat="1" x14ac:dyDescent="0.2">
      <c r="A80" s="246"/>
      <c r="B80" s="233"/>
      <c r="C80" s="242"/>
      <c r="D80" s="50"/>
      <c r="E80" s="248"/>
      <c r="H80" s="50"/>
      <c r="I80" s="50"/>
    </row>
    <row r="81" spans="1:9" s="249" customFormat="1" x14ac:dyDescent="0.2">
      <c r="A81" s="246"/>
      <c r="B81" s="233"/>
      <c r="C81" s="242"/>
      <c r="D81" s="50"/>
      <c r="E81" s="248"/>
      <c r="H81" s="50"/>
      <c r="I81" s="50"/>
    </row>
    <row r="82" spans="1:9" s="249" customFormat="1" x14ac:dyDescent="0.2">
      <c r="A82" s="246"/>
      <c r="B82" s="233"/>
      <c r="C82" s="242"/>
      <c r="D82" s="50"/>
      <c r="E82" s="248"/>
      <c r="H82" s="50"/>
      <c r="I82" s="50"/>
    </row>
    <row r="83" spans="1:9" s="249" customFormat="1" x14ac:dyDescent="0.2">
      <c r="A83" s="246"/>
      <c r="B83" s="233"/>
      <c r="C83" s="242"/>
      <c r="D83" s="50"/>
      <c r="E83" s="248"/>
      <c r="H83" s="50"/>
      <c r="I83" s="50"/>
    </row>
    <row r="84" spans="1:9" s="249" customFormat="1" x14ac:dyDescent="0.2">
      <c r="A84" s="246"/>
      <c r="B84" s="233"/>
      <c r="C84" s="242"/>
      <c r="D84" s="50"/>
      <c r="E84" s="248"/>
      <c r="H84" s="50"/>
      <c r="I84" s="50"/>
    </row>
    <row r="85" spans="1:9" s="249" customFormat="1" x14ac:dyDescent="0.2">
      <c r="A85" s="246"/>
      <c r="B85" s="233"/>
      <c r="C85" s="242"/>
      <c r="D85" s="50"/>
      <c r="E85" s="248"/>
      <c r="H85" s="50"/>
      <c r="I85" s="50"/>
    </row>
    <row r="86" spans="1:9" s="249" customFormat="1" x14ac:dyDescent="0.2">
      <c r="A86" s="246"/>
      <c r="B86" s="233"/>
      <c r="C86" s="242"/>
      <c r="D86" s="50"/>
      <c r="E86" s="248"/>
      <c r="H86" s="50"/>
      <c r="I86" s="50"/>
    </row>
    <row r="87" spans="1:9" s="249" customFormat="1" x14ac:dyDescent="0.2">
      <c r="A87" s="246"/>
      <c r="B87" s="233"/>
      <c r="C87" s="242"/>
      <c r="D87" s="50"/>
      <c r="E87" s="248"/>
      <c r="H87" s="50"/>
      <c r="I87" s="50"/>
    </row>
    <row r="88" spans="1:9" s="249" customFormat="1" x14ac:dyDescent="0.2">
      <c r="A88" s="246"/>
      <c r="B88" s="233"/>
      <c r="C88" s="242"/>
      <c r="D88" s="50"/>
      <c r="E88" s="248"/>
      <c r="H88" s="50"/>
      <c r="I88" s="50"/>
    </row>
    <row r="89" spans="1:9" s="249" customFormat="1" x14ac:dyDescent="0.2">
      <c r="A89" s="246"/>
      <c r="B89" s="233"/>
      <c r="C89" s="242"/>
      <c r="D89" s="50"/>
      <c r="E89" s="248"/>
      <c r="H89" s="50"/>
      <c r="I89" s="50"/>
    </row>
    <row r="90" spans="1:9" s="249" customFormat="1" x14ac:dyDescent="0.2">
      <c r="A90" s="246"/>
      <c r="B90" s="233"/>
      <c r="C90" s="242"/>
      <c r="D90" s="50"/>
      <c r="E90" s="248"/>
      <c r="H90" s="50"/>
      <c r="I90" s="50"/>
    </row>
    <row r="91" spans="1:9" s="249" customFormat="1" x14ac:dyDescent="0.2">
      <c r="A91" s="246"/>
      <c r="B91" s="233"/>
      <c r="C91" s="242"/>
      <c r="D91" s="50"/>
      <c r="E91" s="248"/>
      <c r="H91" s="50"/>
      <c r="I91" s="50"/>
    </row>
    <row r="92" spans="1:9" s="249" customFormat="1" x14ac:dyDescent="0.2">
      <c r="A92" s="246"/>
      <c r="B92" s="233"/>
      <c r="C92" s="242"/>
      <c r="D92" s="50"/>
      <c r="E92" s="248"/>
      <c r="H92" s="50"/>
      <c r="I92" s="50"/>
    </row>
    <row r="93" spans="1:9" s="249" customFormat="1" x14ac:dyDescent="0.2">
      <c r="A93" s="246"/>
      <c r="B93" s="233"/>
      <c r="C93" s="242"/>
      <c r="D93" s="50"/>
      <c r="E93" s="248"/>
      <c r="H93" s="50"/>
      <c r="I93" s="50"/>
    </row>
    <row r="94" spans="1:9" s="249" customFormat="1" x14ac:dyDescent="0.2">
      <c r="A94" s="246"/>
      <c r="B94" s="233"/>
      <c r="C94" s="242"/>
      <c r="D94" s="50"/>
      <c r="E94" s="248"/>
      <c r="H94" s="50"/>
      <c r="I94" s="50"/>
    </row>
    <row r="95" spans="1:9" s="249" customFormat="1" x14ac:dyDescent="0.2">
      <c r="A95" s="246"/>
      <c r="B95" s="233"/>
      <c r="C95" s="242"/>
      <c r="D95" s="50"/>
      <c r="E95" s="248"/>
      <c r="H95" s="50"/>
      <c r="I95" s="50"/>
    </row>
    <row r="96" spans="1:9" s="249" customFormat="1" x14ac:dyDescent="0.2">
      <c r="A96" s="246"/>
      <c r="B96" s="233"/>
      <c r="C96" s="242"/>
      <c r="D96" s="50"/>
      <c r="E96" s="248"/>
      <c r="H96" s="50"/>
      <c r="I96" s="50"/>
    </row>
    <row r="97" spans="1:9" s="249" customFormat="1" x14ac:dyDescent="0.2">
      <c r="A97" s="246"/>
      <c r="B97" s="233"/>
      <c r="C97" s="242"/>
      <c r="D97" s="50"/>
      <c r="E97" s="248"/>
      <c r="H97" s="50"/>
      <c r="I97" s="50"/>
    </row>
    <row r="98" spans="1:9" s="249" customFormat="1" x14ac:dyDescent="0.2">
      <c r="A98" s="246"/>
      <c r="B98" s="233"/>
      <c r="C98" s="242"/>
      <c r="D98" s="50"/>
      <c r="E98" s="248"/>
      <c r="H98" s="50"/>
      <c r="I98" s="50"/>
    </row>
    <row r="99" spans="1:9" s="249" customFormat="1" x14ac:dyDescent="0.2">
      <c r="A99" s="246"/>
      <c r="B99" s="233"/>
      <c r="C99" s="242"/>
      <c r="D99" s="50"/>
      <c r="E99" s="248"/>
      <c r="H99" s="50"/>
      <c r="I99" s="50"/>
    </row>
    <row r="100" spans="1:9" s="249" customFormat="1" x14ac:dyDescent="0.2">
      <c r="A100" s="246"/>
      <c r="B100" s="233"/>
      <c r="C100" s="242"/>
      <c r="D100" s="50"/>
      <c r="E100" s="248"/>
      <c r="H100" s="50"/>
      <c r="I100" s="50"/>
    </row>
    <row r="101" spans="1:9" s="249" customFormat="1" x14ac:dyDescent="0.2">
      <c r="A101" s="246"/>
      <c r="B101" s="233"/>
      <c r="C101" s="242"/>
      <c r="D101" s="50"/>
      <c r="E101" s="248"/>
      <c r="H101" s="50"/>
      <c r="I101" s="50"/>
    </row>
    <row r="102" spans="1:9" s="249" customFormat="1" x14ac:dyDescent="0.2">
      <c r="A102" s="246"/>
      <c r="B102" s="233"/>
      <c r="C102" s="242"/>
      <c r="D102" s="50"/>
      <c r="E102" s="248"/>
      <c r="H102" s="50"/>
      <c r="I102" s="50"/>
    </row>
    <row r="103" spans="1:9" s="249" customFormat="1" x14ac:dyDescent="0.2">
      <c r="A103" s="246"/>
      <c r="B103" s="233"/>
      <c r="C103" s="242"/>
      <c r="D103" s="50"/>
      <c r="E103" s="248"/>
      <c r="H103" s="50"/>
      <c r="I103" s="50"/>
    </row>
    <row r="104" spans="1:9" s="249" customFormat="1" x14ac:dyDescent="0.2">
      <c r="A104" s="246"/>
      <c r="B104" s="233"/>
      <c r="C104" s="242"/>
      <c r="D104" s="50"/>
      <c r="E104" s="248"/>
      <c r="H104" s="50"/>
      <c r="I104" s="50"/>
    </row>
    <row r="105" spans="1:9" s="249" customFormat="1" x14ac:dyDescent="0.2">
      <c r="A105" s="246"/>
      <c r="B105" s="233"/>
      <c r="C105" s="242"/>
      <c r="D105" s="50"/>
      <c r="E105" s="248"/>
      <c r="H105" s="50"/>
      <c r="I105" s="50"/>
    </row>
    <row r="106" spans="1:9" s="249" customFormat="1" x14ac:dyDescent="0.2">
      <c r="A106" s="246"/>
      <c r="B106" s="233"/>
      <c r="C106" s="242"/>
      <c r="D106" s="50"/>
      <c r="E106" s="248"/>
      <c r="H106" s="50"/>
      <c r="I106" s="50"/>
    </row>
    <row r="107" spans="1:9" s="249" customFormat="1" x14ac:dyDescent="0.2">
      <c r="A107" s="246"/>
      <c r="B107" s="233"/>
      <c r="C107" s="242"/>
      <c r="D107" s="50"/>
      <c r="E107" s="248"/>
      <c r="H107" s="50"/>
      <c r="I107" s="50"/>
    </row>
    <row r="108" spans="1:9" s="249" customFormat="1" x14ac:dyDescent="0.2">
      <c r="A108" s="246"/>
      <c r="B108" s="233"/>
      <c r="C108" s="242"/>
      <c r="D108" s="50"/>
      <c r="E108" s="248"/>
      <c r="H108" s="50"/>
      <c r="I108" s="50"/>
    </row>
    <row r="109" spans="1:9" s="249" customFormat="1" x14ac:dyDescent="0.2">
      <c r="A109" s="246"/>
      <c r="B109" s="233"/>
      <c r="C109" s="242"/>
      <c r="D109" s="50"/>
      <c r="E109" s="248"/>
      <c r="H109" s="50"/>
      <c r="I109" s="50"/>
    </row>
    <row r="110" spans="1:9" s="249" customFormat="1" x14ac:dyDescent="0.2">
      <c r="A110" s="246"/>
      <c r="B110" s="233"/>
      <c r="C110" s="242"/>
      <c r="D110" s="50"/>
      <c r="E110" s="248"/>
      <c r="H110" s="50"/>
      <c r="I110" s="50"/>
    </row>
    <row r="111" spans="1:9" s="249" customFormat="1" x14ac:dyDescent="0.2">
      <c r="A111" s="246"/>
      <c r="B111" s="233"/>
      <c r="C111" s="242"/>
      <c r="D111" s="50"/>
      <c r="E111" s="248"/>
      <c r="H111" s="50"/>
      <c r="I111" s="50"/>
    </row>
    <row r="112" spans="1:9" s="249" customFormat="1" x14ac:dyDescent="0.2">
      <c r="A112" s="246"/>
      <c r="B112" s="233"/>
      <c r="C112" s="242"/>
      <c r="D112" s="50"/>
      <c r="E112" s="248"/>
      <c r="H112" s="50"/>
      <c r="I112" s="50"/>
    </row>
    <row r="113" spans="1:9" s="249" customFormat="1" x14ac:dyDescent="0.2">
      <c r="A113" s="246"/>
      <c r="B113" s="233"/>
      <c r="C113" s="242"/>
      <c r="D113" s="50"/>
      <c r="E113" s="248"/>
      <c r="H113" s="50"/>
      <c r="I113" s="50"/>
    </row>
    <row r="114" spans="1:9" s="249" customFormat="1" x14ac:dyDescent="0.2">
      <c r="A114" s="246"/>
      <c r="B114" s="233"/>
      <c r="C114" s="242"/>
      <c r="D114" s="50"/>
      <c r="E114" s="248"/>
      <c r="H114" s="50"/>
      <c r="I114" s="50"/>
    </row>
    <row r="115" spans="1:9" s="249" customFormat="1" x14ac:dyDescent="0.2">
      <c r="A115" s="246"/>
      <c r="B115" s="233"/>
      <c r="C115" s="242"/>
      <c r="D115" s="50"/>
      <c r="E115" s="248"/>
      <c r="H115" s="50"/>
      <c r="I115" s="50"/>
    </row>
    <row r="116" spans="1:9" s="249" customFormat="1" x14ac:dyDescent="0.2">
      <c r="A116" s="246"/>
      <c r="B116" s="233"/>
      <c r="C116" s="242"/>
      <c r="D116" s="50"/>
      <c r="E116" s="248"/>
      <c r="H116" s="50"/>
      <c r="I116" s="50"/>
    </row>
    <row r="117" spans="1:9" s="249" customFormat="1" x14ac:dyDescent="0.2">
      <c r="A117" s="246"/>
      <c r="B117" s="233"/>
      <c r="C117" s="242"/>
      <c r="D117" s="50"/>
      <c r="E117" s="248"/>
      <c r="H117" s="50"/>
      <c r="I117" s="50"/>
    </row>
    <row r="118" spans="1:9" s="249" customFormat="1" x14ac:dyDescent="0.2">
      <c r="A118" s="246"/>
      <c r="B118" s="233"/>
      <c r="C118" s="242"/>
      <c r="D118" s="50"/>
      <c r="E118" s="248"/>
      <c r="H118" s="50"/>
      <c r="I118" s="50"/>
    </row>
    <row r="119" spans="1:9" s="249" customFormat="1" x14ac:dyDescent="0.2">
      <c r="A119" s="246"/>
      <c r="B119" s="233"/>
      <c r="C119" s="242"/>
      <c r="D119" s="50"/>
      <c r="E119" s="248"/>
      <c r="H119" s="50"/>
      <c r="I119" s="50"/>
    </row>
    <row r="120" spans="1:9" s="249" customFormat="1" x14ac:dyDescent="0.2">
      <c r="A120" s="246"/>
      <c r="B120" s="233"/>
      <c r="C120" s="242"/>
      <c r="D120" s="50"/>
      <c r="E120" s="248"/>
      <c r="H120" s="50"/>
      <c r="I120" s="50"/>
    </row>
    <row r="121" spans="1:9" s="249" customFormat="1" x14ac:dyDescent="0.2">
      <c r="A121" s="246"/>
      <c r="B121" s="233"/>
      <c r="C121" s="242"/>
      <c r="D121" s="50"/>
      <c r="E121" s="248"/>
      <c r="H121" s="50"/>
      <c r="I121" s="50"/>
    </row>
    <row r="122" spans="1:9" s="249" customFormat="1" x14ac:dyDescent="0.2">
      <c r="A122" s="246"/>
      <c r="B122" s="233"/>
      <c r="C122" s="242"/>
      <c r="D122" s="50"/>
      <c r="E122" s="248"/>
      <c r="H122" s="50"/>
      <c r="I122" s="50"/>
    </row>
    <row r="123" spans="1:9" s="249" customFormat="1" x14ac:dyDescent="0.2">
      <c r="A123" s="246"/>
      <c r="B123" s="233"/>
      <c r="C123" s="242"/>
      <c r="D123" s="50"/>
      <c r="E123" s="248"/>
      <c r="H123" s="50"/>
      <c r="I123" s="50"/>
    </row>
    <row r="124" spans="1:9" s="249" customFormat="1" x14ac:dyDescent="0.2">
      <c r="A124" s="246"/>
      <c r="B124" s="233"/>
      <c r="C124" s="242"/>
      <c r="D124" s="50"/>
      <c r="E124" s="248"/>
      <c r="H124" s="50"/>
      <c r="I124" s="50"/>
    </row>
    <row r="125" spans="1:9" s="249" customFormat="1" x14ac:dyDescent="0.2">
      <c r="A125" s="246"/>
      <c r="B125" s="233"/>
      <c r="C125" s="242"/>
      <c r="D125" s="50"/>
      <c r="E125" s="248"/>
      <c r="H125" s="50"/>
      <c r="I125" s="50"/>
    </row>
    <row r="126" spans="1:9" s="249" customFormat="1" x14ac:dyDescent="0.2">
      <c r="A126" s="246"/>
      <c r="B126" s="233"/>
      <c r="C126" s="242"/>
      <c r="D126" s="50"/>
      <c r="E126" s="248"/>
      <c r="H126" s="50"/>
      <c r="I126" s="50"/>
    </row>
    <row r="127" spans="1:9" s="249" customFormat="1" x14ac:dyDescent="0.2">
      <c r="A127" s="246"/>
      <c r="B127" s="233"/>
      <c r="C127" s="242"/>
      <c r="D127" s="50"/>
      <c r="E127" s="248"/>
      <c r="H127" s="50"/>
      <c r="I127" s="50"/>
    </row>
    <row r="128" spans="1:9" s="249" customFormat="1" x14ac:dyDescent="0.2">
      <c r="A128" s="246"/>
      <c r="B128" s="233"/>
      <c r="C128" s="242"/>
      <c r="D128" s="50"/>
      <c r="E128" s="248"/>
      <c r="H128" s="50"/>
      <c r="I128" s="50"/>
    </row>
    <row r="129" spans="1:9" s="249" customFormat="1" x14ac:dyDescent="0.2">
      <c r="A129" s="246"/>
      <c r="B129" s="233"/>
      <c r="C129" s="242"/>
      <c r="D129" s="50"/>
      <c r="E129" s="248"/>
      <c r="H129" s="50"/>
      <c r="I129" s="50"/>
    </row>
    <row r="130" spans="1:9" s="249" customFormat="1" x14ac:dyDescent="0.2">
      <c r="A130" s="246"/>
      <c r="B130" s="233"/>
      <c r="C130" s="242"/>
      <c r="D130" s="50"/>
      <c r="E130" s="248"/>
      <c r="H130" s="50"/>
      <c r="I130" s="50"/>
    </row>
    <row r="131" spans="1:9" s="249" customFormat="1" x14ac:dyDescent="0.2">
      <c r="A131" s="246"/>
      <c r="B131" s="233"/>
      <c r="C131" s="242"/>
      <c r="D131" s="50"/>
      <c r="E131" s="248"/>
      <c r="H131" s="50"/>
      <c r="I131" s="50"/>
    </row>
    <row r="132" spans="1:9" s="249" customFormat="1" x14ac:dyDescent="0.2">
      <c r="A132" s="246"/>
      <c r="B132" s="233"/>
      <c r="C132" s="242"/>
      <c r="D132" s="50"/>
      <c r="E132" s="248"/>
      <c r="H132" s="50"/>
      <c r="I132" s="50"/>
    </row>
    <row r="133" spans="1:9" s="249" customFormat="1" x14ac:dyDescent="0.2">
      <c r="A133" s="246"/>
      <c r="B133" s="233"/>
      <c r="C133" s="242"/>
      <c r="D133" s="50"/>
      <c r="E133" s="248"/>
      <c r="H133" s="50"/>
      <c r="I133" s="50"/>
    </row>
    <row r="134" spans="1:9" s="249" customFormat="1" x14ac:dyDescent="0.2">
      <c r="A134" s="246"/>
      <c r="B134" s="233"/>
      <c r="C134" s="242"/>
      <c r="D134" s="50"/>
      <c r="E134" s="248"/>
      <c r="H134" s="50"/>
      <c r="I134" s="50"/>
    </row>
    <row r="135" spans="1:9" s="249" customFormat="1" x14ac:dyDescent="0.2">
      <c r="A135" s="246"/>
      <c r="B135" s="233"/>
      <c r="C135" s="242"/>
      <c r="D135" s="50"/>
      <c r="E135" s="248"/>
      <c r="H135" s="50"/>
      <c r="I135" s="50"/>
    </row>
    <row r="136" spans="1:9" s="249" customFormat="1" x14ac:dyDescent="0.2">
      <c r="A136" s="246"/>
      <c r="B136" s="233"/>
      <c r="C136" s="242"/>
      <c r="D136" s="50"/>
      <c r="E136" s="248"/>
      <c r="H136" s="50"/>
      <c r="I136" s="50"/>
    </row>
    <row r="137" spans="1:9" s="249" customFormat="1" x14ac:dyDescent="0.2">
      <c r="A137" s="246"/>
      <c r="B137" s="233"/>
      <c r="C137" s="242"/>
      <c r="D137" s="50"/>
      <c r="E137" s="248"/>
      <c r="H137" s="50"/>
      <c r="I137" s="50"/>
    </row>
    <row r="138" spans="1:9" s="249" customFormat="1" x14ac:dyDescent="0.2">
      <c r="A138" s="246"/>
      <c r="B138" s="233"/>
      <c r="C138" s="242"/>
      <c r="D138" s="50"/>
      <c r="E138" s="248"/>
      <c r="H138" s="50"/>
      <c r="I138" s="50"/>
    </row>
    <row r="139" spans="1:9" s="249" customFormat="1" x14ac:dyDescent="0.2">
      <c r="A139" s="246"/>
      <c r="B139" s="233"/>
      <c r="C139" s="242"/>
      <c r="D139" s="50"/>
      <c r="E139" s="248"/>
      <c r="H139" s="50"/>
      <c r="I139" s="50"/>
    </row>
    <row r="140" spans="1:9" s="249" customFormat="1" x14ac:dyDescent="0.2">
      <c r="A140" s="246"/>
      <c r="B140" s="233"/>
      <c r="C140" s="242"/>
      <c r="D140" s="50"/>
      <c r="E140" s="248"/>
      <c r="H140" s="50"/>
      <c r="I140" s="50"/>
    </row>
    <row r="141" spans="1:9" s="249" customFormat="1" x14ac:dyDescent="0.2">
      <c r="A141" s="246"/>
      <c r="B141" s="233"/>
      <c r="C141" s="242"/>
      <c r="D141" s="50"/>
      <c r="E141" s="248"/>
      <c r="H141" s="50"/>
      <c r="I141" s="50"/>
    </row>
    <row r="142" spans="1:9" s="249" customFormat="1" x14ac:dyDescent="0.2">
      <c r="A142" s="246"/>
      <c r="B142" s="233"/>
      <c r="C142" s="242"/>
      <c r="D142" s="50"/>
      <c r="E142" s="248"/>
      <c r="H142" s="50"/>
      <c r="I142" s="50"/>
    </row>
    <row r="143" spans="1:9" s="249" customFormat="1" x14ac:dyDescent="0.2">
      <c r="A143" s="246"/>
      <c r="B143" s="233"/>
      <c r="C143" s="242"/>
      <c r="D143" s="50"/>
      <c r="E143" s="248"/>
      <c r="H143" s="50"/>
      <c r="I143" s="50"/>
    </row>
    <row r="144" spans="1:9" s="249" customFormat="1" x14ac:dyDescent="0.2">
      <c r="A144" s="246"/>
      <c r="B144" s="233"/>
      <c r="C144" s="242"/>
      <c r="D144" s="50"/>
      <c r="E144" s="248"/>
      <c r="H144" s="50"/>
      <c r="I144" s="50"/>
    </row>
    <row r="145" spans="1:9" s="249" customFormat="1" x14ac:dyDescent="0.2">
      <c r="A145" s="246"/>
      <c r="B145" s="233"/>
      <c r="C145" s="242"/>
      <c r="D145" s="50"/>
      <c r="E145" s="248"/>
      <c r="H145" s="50"/>
      <c r="I145" s="50"/>
    </row>
    <row r="146" spans="1:9" s="249" customFormat="1" x14ac:dyDescent="0.2">
      <c r="A146" s="246"/>
      <c r="B146" s="233"/>
      <c r="C146" s="242"/>
      <c r="D146" s="50"/>
      <c r="E146" s="248"/>
      <c r="H146" s="50"/>
      <c r="I146" s="50"/>
    </row>
    <row r="147" spans="1:9" s="249" customFormat="1" x14ac:dyDescent="0.2">
      <c r="A147" s="246"/>
      <c r="B147" s="233"/>
      <c r="C147" s="242"/>
      <c r="D147" s="50"/>
      <c r="E147" s="248"/>
      <c r="H147" s="50"/>
      <c r="I147" s="50"/>
    </row>
    <row r="148" spans="1:9" s="249" customFormat="1" x14ac:dyDescent="0.2">
      <c r="A148" s="246"/>
      <c r="B148" s="233"/>
      <c r="C148" s="242"/>
      <c r="D148" s="50"/>
      <c r="E148" s="248"/>
      <c r="H148" s="50"/>
      <c r="I148" s="50"/>
    </row>
    <row r="149" spans="1:9" s="249" customFormat="1" x14ac:dyDescent="0.2">
      <c r="A149" s="246"/>
      <c r="B149" s="233"/>
      <c r="C149" s="242"/>
      <c r="D149" s="50"/>
      <c r="E149" s="248"/>
      <c r="H149" s="50"/>
      <c r="I149" s="50"/>
    </row>
    <row r="150" spans="1:9" s="249" customFormat="1" x14ac:dyDescent="0.2">
      <c r="A150" s="246"/>
      <c r="B150" s="233"/>
      <c r="C150" s="242"/>
      <c r="D150" s="50"/>
      <c r="E150" s="248"/>
      <c r="H150" s="50"/>
      <c r="I150" s="50"/>
    </row>
    <row r="151" spans="1:9" s="249" customFormat="1" x14ac:dyDescent="0.2">
      <c r="A151" s="246"/>
      <c r="B151" s="233"/>
      <c r="C151" s="242"/>
      <c r="D151" s="50"/>
      <c r="E151" s="248"/>
      <c r="H151" s="50"/>
      <c r="I151" s="50"/>
    </row>
    <row r="152" spans="1:9" s="249" customFormat="1" x14ac:dyDescent="0.2">
      <c r="A152" s="246"/>
      <c r="B152" s="233"/>
      <c r="C152" s="242"/>
      <c r="D152" s="50"/>
      <c r="E152" s="248"/>
      <c r="H152" s="50"/>
      <c r="I152" s="50"/>
    </row>
    <row r="153" spans="1:9" s="249" customFormat="1" x14ac:dyDescent="0.2">
      <c r="A153" s="246"/>
      <c r="B153" s="233"/>
      <c r="C153" s="242"/>
      <c r="D153" s="50"/>
      <c r="E153" s="248"/>
      <c r="H153" s="50"/>
      <c r="I153" s="50"/>
    </row>
    <row r="154" spans="1:9" s="249" customFormat="1" x14ac:dyDescent="0.2">
      <c r="A154" s="246"/>
      <c r="B154" s="233"/>
      <c r="C154" s="242"/>
      <c r="D154" s="50"/>
      <c r="E154" s="248"/>
      <c r="H154" s="50"/>
      <c r="I154" s="50"/>
    </row>
    <row r="155" spans="1:9" s="249" customFormat="1" x14ac:dyDescent="0.2">
      <c r="A155" s="246"/>
      <c r="B155" s="233"/>
      <c r="C155" s="242"/>
      <c r="D155" s="50"/>
      <c r="E155" s="248"/>
      <c r="H155" s="50"/>
      <c r="I155" s="50"/>
    </row>
    <row r="156" spans="1:9" s="249" customFormat="1" x14ac:dyDescent="0.2">
      <c r="A156" s="246"/>
      <c r="B156" s="233"/>
      <c r="C156" s="242"/>
      <c r="D156" s="50"/>
      <c r="E156" s="248"/>
      <c r="H156" s="50"/>
      <c r="I156" s="50"/>
    </row>
    <row r="157" spans="1:9" s="249" customFormat="1" x14ac:dyDescent="0.2">
      <c r="A157" s="246"/>
      <c r="B157" s="233"/>
      <c r="C157" s="242"/>
      <c r="D157" s="50"/>
      <c r="E157" s="248"/>
      <c r="H157" s="50"/>
      <c r="I157" s="50"/>
    </row>
    <row r="158" spans="1:9" s="249" customFormat="1" x14ac:dyDescent="0.2">
      <c r="A158" s="246"/>
      <c r="B158" s="233"/>
      <c r="C158" s="242"/>
      <c r="D158" s="50"/>
      <c r="E158" s="248"/>
      <c r="H158" s="50"/>
      <c r="I158" s="50"/>
    </row>
    <row r="159" spans="1:9" s="249" customFormat="1" x14ac:dyDescent="0.2">
      <c r="A159" s="246"/>
      <c r="B159" s="233"/>
      <c r="C159" s="242"/>
      <c r="D159" s="50"/>
      <c r="E159" s="248"/>
      <c r="H159" s="50"/>
      <c r="I159" s="50"/>
    </row>
    <row r="160" spans="1:9" s="249" customFormat="1" x14ac:dyDescent="0.2">
      <c r="A160" s="246"/>
      <c r="B160" s="233"/>
      <c r="C160" s="242"/>
      <c r="D160" s="50"/>
      <c r="E160" s="248"/>
      <c r="H160" s="50"/>
      <c r="I160" s="50"/>
    </row>
    <row r="161" spans="1:9" s="249" customFormat="1" x14ac:dyDescent="0.2">
      <c r="A161" s="246"/>
      <c r="B161" s="233"/>
      <c r="C161" s="242"/>
      <c r="D161" s="50"/>
      <c r="E161" s="248"/>
      <c r="H161" s="50"/>
      <c r="I161" s="50"/>
    </row>
    <row r="162" spans="1:9" s="249" customFormat="1" x14ac:dyDescent="0.2">
      <c r="A162" s="246"/>
      <c r="B162" s="233"/>
      <c r="C162" s="242"/>
      <c r="D162" s="50"/>
      <c r="E162" s="248"/>
      <c r="H162" s="50"/>
      <c r="I162" s="50"/>
    </row>
    <row r="163" spans="1:9" s="249" customFormat="1" x14ac:dyDescent="0.2">
      <c r="A163" s="246"/>
      <c r="B163" s="233"/>
      <c r="C163" s="242"/>
      <c r="D163" s="50"/>
      <c r="E163" s="248"/>
      <c r="H163" s="50"/>
      <c r="I163" s="50"/>
    </row>
    <row r="164" spans="1:9" s="249" customFormat="1" x14ac:dyDescent="0.2">
      <c r="A164" s="246"/>
      <c r="B164" s="233"/>
      <c r="C164" s="242"/>
      <c r="D164" s="50"/>
      <c r="E164" s="248"/>
      <c r="H164" s="50"/>
      <c r="I164" s="50"/>
    </row>
    <row r="165" spans="1:9" s="249" customFormat="1" x14ac:dyDescent="0.2">
      <c r="A165" s="246"/>
      <c r="B165" s="233"/>
      <c r="C165" s="242"/>
      <c r="D165" s="50"/>
      <c r="E165" s="248"/>
      <c r="H165" s="50"/>
      <c r="I165" s="50"/>
    </row>
    <row r="166" spans="1:9" s="249" customFormat="1" x14ac:dyDescent="0.2">
      <c r="A166" s="246"/>
      <c r="B166" s="233"/>
      <c r="C166" s="242"/>
      <c r="D166" s="50"/>
      <c r="E166" s="248"/>
      <c r="H166" s="50"/>
      <c r="I166" s="50"/>
    </row>
    <row r="167" spans="1:9" s="249" customFormat="1" x14ac:dyDescent="0.2">
      <c r="A167" s="246"/>
      <c r="B167" s="233"/>
      <c r="C167" s="242"/>
      <c r="D167" s="50"/>
      <c r="E167" s="248"/>
      <c r="H167" s="50"/>
      <c r="I167" s="50"/>
    </row>
    <row r="168" spans="1:9" s="249" customFormat="1" x14ac:dyDescent="0.2">
      <c r="A168" s="246"/>
      <c r="B168" s="233"/>
      <c r="C168" s="242"/>
      <c r="D168" s="50"/>
      <c r="E168" s="248"/>
      <c r="H168" s="50"/>
      <c r="I168" s="50"/>
    </row>
    <row r="169" spans="1:9" s="249" customFormat="1" x14ac:dyDescent="0.2">
      <c r="A169" s="246"/>
      <c r="B169" s="233"/>
      <c r="C169" s="242"/>
      <c r="D169" s="50"/>
      <c r="E169" s="248"/>
      <c r="H169" s="50"/>
      <c r="I169" s="50"/>
    </row>
    <row r="170" spans="1:9" s="249" customFormat="1" x14ac:dyDescent="0.2">
      <c r="A170" s="246"/>
      <c r="B170" s="233"/>
      <c r="C170" s="242"/>
      <c r="D170" s="50"/>
      <c r="E170" s="248"/>
      <c r="H170" s="50"/>
      <c r="I170" s="50"/>
    </row>
    <row r="171" spans="1:9" s="249" customFormat="1" x14ac:dyDescent="0.2">
      <c r="A171" s="246"/>
      <c r="B171" s="233"/>
      <c r="C171" s="242"/>
      <c r="D171" s="50"/>
      <c r="E171" s="248"/>
      <c r="H171" s="50"/>
      <c r="I171" s="50"/>
    </row>
    <row r="172" spans="1:9" s="249" customFormat="1" x14ac:dyDescent="0.2">
      <c r="A172" s="246"/>
      <c r="B172" s="233"/>
      <c r="C172" s="242"/>
      <c r="D172" s="50"/>
      <c r="E172" s="248"/>
      <c r="H172" s="50"/>
      <c r="I172" s="50"/>
    </row>
    <row r="173" spans="1:9" s="249" customFormat="1" x14ac:dyDescent="0.2">
      <c r="A173" s="246"/>
      <c r="B173" s="233"/>
      <c r="C173" s="242"/>
      <c r="D173" s="50"/>
      <c r="E173" s="248"/>
      <c r="H173" s="50"/>
      <c r="I173" s="50"/>
    </row>
    <row r="174" spans="1:9" s="249" customFormat="1" x14ac:dyDescent="0.2">
      <c r="A174" s="246"/>
      <c r="B174" s="233"/>
      <c r="C174" s="242"/>
      <c r="D174" s="50"/>
      <c r="E174" s="248"/>
      <c r="H174" s="50"/>
      <c r="I174" s="50"/>
    </row>
    <row r="175" spans="1:9" s="249" customFormat="1" x14ac:dyDescent="0.2">
      <c r="A175" s="246"/>
      <c r="B175" s="233"/>
      <c r="C175" s="242"/>
      <c r="D175" s="50"/>
      <c r="E175" s="248"/>
      <c r="H175" s="50"/>
      <c r="I175" s="50"/>
    </row>
    <row r="176" spans="1:9" s="249" customFormat="1" x14ac:dyDescent="0.2">
      <c r="A176" s="246"/>
      <c r="B176" s="233"/>
      <c r="C176" s="242"/>
      <c r="D176" s="50"/>
      <c r="E176" s="248"/>
      <c r="H176" s="50"/>
      <c r="I176" s="50"/>
    </row>
    <row r="177" spans="1:9" s="249" customFormat="1" x14ac:dyDescent="0.2">
      <c r="A177" s="246"/>
      <c r="B177" s="233"/>
      <c r="C177" s="242"/>
      <c r="D177" s="50"/>
      <c r="E177" s="248"/>
      <c r="H177" s="50"/>
      <c r="I177" s="50"/>
    </row>
    <row r="178" spans="1:9" s="249" customFormat="1" x14ac:dyDescent="0.2">
      <c r="A178" s="246"/>
      <c r="B178" s="233"/>
      <c r="C178" s="242"/>
      <c r="D178" s="50"/>
      <c r="E178" s="248"/>
      <c r="H178" s="50"/>
      <c r="I178" s="50"/>
    </row>
    <row r="179" spans="1:9" s="249" customFormat="1" x14ac:dyDescent="0.2">
      <c r="A179" s="246"/>
      <c r="B179" s="233"/>
      <c r="C179" s="242"/>
      <c r="D179" s="50"/>
      <c r="E179" s="248"/>
      <c r="H179" s="50"/>
      <c r="I179" s="50"/>
    </row>
    <row r="180" spans="1:9" s="249" customFormat="1" x14ac:dyDescent="0.2">
      <c r="A180" s="246"/>
      <c r="B180" s="233"/>
      <c r="C180" s="242"/>
      <c r="D180" s="50"/>
      <c r="E180" s="248"/>
      <c r="H180" s="50"/>
      <c r="I180" s="50"/>
    </row>
    <row r="181" spans="1:9" s="249" customFormat="1" x14ac:dyDescent="0.2">
      <c r="A181" s="246"/>
      <c r="B181" s="233"/>
      <c r="C181" s="242"/>
      <c r="D181" s="50"/>
      <c r="E181" s="248"/>
      <c r="H181" s="50"/>
      <c r="I181" s="50"/>
    </row>
    <row r="182" spans="1:9" s="249" customFormat="1" x14ac:dyDescent="0.2">
      <c r="A182" s="246"/>
      <c r="B182" s="233"/>
      <c r="C182" s="242"/>
      <c r="D182" s="50"/>
      <c r="E182" s="248"/>
      <c r="H182" s="50"/>
      <c r="I182" s="50"/>
    </row>
    <row r="183" spans="1:9" s="249" customFormat="1" x14ac:dyDescent="0.2">
      <c r="A183" s="246"/>
      <c r="B183" s="233"/>
      <c r="C183" s="242"/>
      <c r="D183" s="50"/>
      <c r="E183" s="248"/>
      <c r="H183" s="50"/>
      <c r="I183" s="50"/>
    </row>
    <row r="184" spans="1:9" s="249" customFormat="1" x14ac:dyDescent="0.2">
      <c r="A184" s="246"/>
      <c r="B184" s="233"/>
      <c r="C184" s="242"/>
      <c r="D184" s="50"/>
      <c r="E184" s="248"/>
      <c r="H184" s="50"/>
      <c r="I184" s="50"/>
    </row>
    <row r="185" spans="1:9" s="249" customFormat="1" x14ac:dyDescent="0.2">
      <c r="A185" s="246"/>
      <c r="B185" s="233"/>
      <c r="C185" s="242"/>
      <c r="D185" s="50"/>
      <c r="E185" s="248"/>
      <c r="H185" s="50"/>
      <c r="I185" s="50"/>
    </row>
    <row r="186" spans="1:9" s="249" customFormat="1" x14ac:dyDescent="0.2">
      <c r="A186" s="246"/>
      <c r="B186" s="233"/>
      <c r="C186" s="242"/>
      <c r="D186" s="50"/>
      <c r="E186" s="248"/>
      <c r="H186" s="50"/>
      <c r="I186" s="50"/>
    </row>
    <row r="187" spans="1:9" s="249" customFormat="1" x14ac:dyDescent="0.2">
      <c r="A187" s="246"/>
      <c r="B187" s="233"/>
      <c r="C187" s="242"/>
      <c r="D187" s="50"/>
      <c r="E187" s="248"/>
      <c r="H187" s="50"/>
      <c r="I187" s="50"/>
    </row>
    <row r="188" spans="1:9" s="249" customFormat="1" x14ac:dyDescent="0.2">
      <c r="A188" s="246"/>
      <c r="B188" s="233"/>
      <c r="C188" s="242"/>
      <c r="D188" s="50"/>
      <c r="E188" s="248"/>
      <c r="H188" s="50"/>
      <c r="I188" s="50"/>
    </row>
    <row r="189" spans="1:9" s="249" customFormat="1" x14ac:dyDescent="0.2">
      <c r="A189" s="246"/>
      <c r="B189" s="233"/>
      <c r="C189" s="242"/>
      <c r="D189" s="50"/>
      <c r="E189" s="248"/>
      <c r="H189" s="50"/>
      <c r="I189" s="50"/>
    </row>
    <row r="190" spans="1:9" s="249" customFormat="1" x14ac:dyDescent="0.2">
      <c r="A190" s="246"/>
      <c r="B190" s="233"/>
      <c r="C190" s="242"/>
      <c r="D190" s="50"/>
      <c r="E190" s="248"/>
      <c r="H190" s="50"/>
      <c r="I190" s="50"/>
    </row>
    <row r="191" spans="1:9" s="249" customFormat="1" x14ac:dyDescent="0.2">
      <c r="A191" s="246"/>
      <c r="B191" s="233"/>
      <c r="C191" s="242"/>
      <c r="D191" s="50"/>
      <c r="E191" s="248"/>
      <c r="H191" s="50"/>
      <c r="I191" s="50"/>
    </row>
    <row r="192" spans="1:9" s="249" customFormat="1" x14ac:dyDescent="0.2">
      <c r="A192" s="246"/>
      <c r="B192" s="233"/>
      <c r="C192" s="242"/>
      <c r="D192" s="50"/>
      <c r="E192" s="248"/>
      <c r="H192" s="50"/>
      <c r="I192" s="50"/>
    </row>
    <row r="193" spans="1:9" s="249" customFormat="1" x14ac:dyDescent="0.2">
      <c r="A193" s="246"/>
      <c r="B193" s="233"/>
      <c r="C193" s="242"/>
      <c r="D193" s="50"/>
      <c r="E193" s="248"/>
      <c r="H193" s="50"/>
      <c r="I193" s="50"/>
    </row>
    <row r="194" spans="1:9" s="249" customFormat="1" x14ac:dyDescent="0.2">
      <c r="A194" s="246"/>
      <c r="B194" s="233"/>
      <c r="C194" s="242"/>
      <c r="D194" s="50"/>
      <c r="E194" s="248"/>
      <c r="H194" s="50"/>
      <c r="I194" s="50"/>
    </row>
    <row r="195" spans="1:9" s="249" customFormat="1" x14ac:dyDescent="0.2">
      <c r="A195" s="246"/>
      <c r="B195" s="233"/>
      <c r="C195" s="242"/>
      <c r="D195" s="50"/>
      <c r="E195" s="248"/>
      <c r="H195" s="50"/>
      <c r="I195" s="50"/>
    </row>
    <row r="196" spans="1:9" s="249" customFormat="1" x14ac:dyDescent="0.2">
      <c r="A196" s="246"/>
      <c r="B196" s="233"/>
      <c r="C196" s="242"/>
      <c r="D196" s="50"/>
      <c r="E196" s="248"/>
      <c r="H196" s="50"/>
      <c r="I196" s="50"/>
    </row>
    <row r="197" spans="1:9" s="249" customFormat="1" x14ac:dyDescent="0.2">
      <c r="A197" s="246"/>
      <c r="B197" s="233"/>
      <c r="C197" s="242"/>
      <c r="D197" s="50"/>
      <c r="E197" s="248"/>
      <c r="H197" s="50"/>
      <c r="I197" s="50"/>
    </row>
    <row r="198" spans="1:9" s="249" customFormat="1" x14ac:dyDescent="0.2">
      <c r="A198" s="246"/>
      <c r="B198" s="233"/>
      <c r="C198" s="242"/>
      <c r="D198" s="50"/>
      <c r="E198" s="248"/>
      <c r="H198" s="50"/>
      <c r="I198" s="50"/>
    </row>
    <row r="199" spans="1:9" s="249" customFormat="1" x14ac:dyDescent="0.2">
      <c r="A199" s="246"/>
      <c r="B199" s="233"/>
      <c r="C199" s="242"/>
      <c r="D199" s="50"/>
      <c r="E199" s="248"/>
      <c r="H199" s="50"/>
      <c r="I199" s="50"/>
    </row>
    <row r="200" spans="1:9" s="249" customFormat="1" x14ac:dyDescent="0.2">
      <c r="A200" s="246"/>
      <c r="B200" s="233"/>
      <c r="C200" s="242"/>
      <c r="D200" s="50"/>
      <c r="E200" s="248"/>
      <c r="H200" s="50"/>
      <c r="I200" s="50"/>
    </row>
    <row r="201" spans="1:9" s="249" customFormat="1" x14ac:dyDescent="0.2">
      <c r="A201" s="246"/>
      <c r="B201" s="233"/>
      <c r="C201" s="242"/>
      <c r="D201" s="50"/>
      <c r="E201" s="248"/>
      <c r="H201" s="50"/>
      <c r="I201" s="50"/>
    </row>
    <row r="202" spans="1:9" s="249" customFormat="1" x14ac:dyDescent="0.2">
      <c r="A202" s="246"/>
      <c r="B202" s="233"/>
      <c r="C202" s="242"/>
      <c r="D202" s="50"/>
      <c r="E202" s="248"/>
      <c r="H202" s="50"/>
      <c r="I202" s="50"/>
    </row>
    <row r="203" spans="1:9" s="249" customFormat="1" x14ac:dyDescent="0.2">
      <c r="A203" s="246"/>
      <c r="B203" s="233"/>
      <c r="C203" s="242"/>
      <c r="D203" s="50"/>
      <c r="E203" s="248"/>
      <c r="H203" s="50"/>
      <c r="I203" s="50"/>
    </row>
    <row r="204" spans="1:9" s="249" customFormat="1" x14ac:dyDescent="0.2">
      <c r="A204" s="246"/>
      <c r="B204" s="233"/>
      <c r="C204" s="242"/>
      <c r="D204" s="50"/>
      <c r="E204" s="248"/>
      <c r="H204" s="50"/>
      <c r="I204" s="50"/>
    </row>
    <row r="205" spans="1:9" s="249" customFormat="1" x14ac:dyDescent="0.2">
      <c r="A205" s="246"/>
      <c r="B205" s="233"/>
      <c r="C205" s="242"/>
      <c r="D205" s="50"/>
      <c r="E205" s="248"/>
      <c r="H205" s="50"/>
      <c r="I205" s="50"/>
    </row>
    <row r="206" spans="1:9" s="249" customFormat="1" x14ac:dyDescent="0.2">
      <c r="A206" s="246"/>
      <c r="B206" s="233"/>
      <c r="C206" s="242"/>
      <c r="D206" s="50"/>
      <c r="E206" s="248"/>
      <c r="H206" s="50"/>
      <c r="I206" s="50"/>
    </row>
    <row r="207" spans="1:9" s="249" customFormat="1" x14ac:dyDescent="0.2">
      <c r="A207" s="246"/>
      <c r="B207" s="233"/>
      <c r="C207" s="242"/>
      <c r="D207" s="50"/>
      <c r="E207" s="248"/>
      <c r="H207" s="50"/>
      <c r="I207" s="50"/>
    </row>
    <row r="208" spans="1:9" s="249" customFormat="1" x14ac:dyDescent="0.2">
      <c r="A208" s="246"/>
      <c r="B208" s="233"/>
      <c r="C208" s="242"/>
      <c r="D208" s="50"/>
      <c r="E208" s="248"/>
      <c r="H208" s="50"/>
      <c r="I208" s="50"/>
    </row>
    <row r="209" spans="1:9" s="249" customFormat="1" x14ac:dyDescent="0.2">
      <c r="A209" s="246"/>
      <c r="B209" s="233"/>
      <c r="C209" s="242"/>
      <c r="D209" s="50"/>
      <c r="E209" s="248"/>
      <c r="H209" s="50"/>
      <c r="I209" s="50"/>
    </row>
    <row r="210" spans="1:9" s="249" customFormat="1" x14ac:dyDescent="0.2">
      <c r="A210" s="246"/>
      <c r="B210" s="233"/>
      <c r="C210" s="242"/>
      <c r="D210" s="50"/>
      <c r="E210" s="248"/>
      <c r="H210" s="50"/>
      <c r="I210" s="50"/>
    </row>
    <row r="211" spans="1:9" s="249" customFormat="1" x14ac:dyDescent="0.2">
      <c r="A211" s="246"/>
      <c r="B211" s="233"/>
      <c r="C211" s="242"/>
      <c r="D211" s="50"/>
      <c r="E211" s="248"/>
      <c r="H211" s="50"/>
      <c r="I211" s="50"/>
    </row>
    <row r="212" spans="1:9" s="249" customFormat="1" x14ac:dyDescent="0.2">
      <c r="A212" s="246"/>
      <c r="B212" s="233"/>
      <c r="C212" s="242"/>
      <c r="D212" s="50"/>
      <c r="E212" s="248"/>
      <c r="H212" s="50"/>
      <c r="I212" s="50"/>
    </row>
    <row r="213" spans="1:9" s="249" customFormat="1" x14ac:dyDescent="0.2">
      <c r="A213" s="246"/>
      <c r="B213" s="233"/>
      <c r="C213" s="242"/>
      <c r="D213" s="50"/>
      <c r="E213" s="248"/>
      <c r="H213" s="50"/>
      <c r="I213" s="50"/>
    </row>
    <row r="214" spans="1:9" s="249" customFormat="1" x14ac:dyDescent="0.2">
      <c r="A214" s="246"/>
      <c r="B214" s="233"/>
      <c r="C214" s="242"/>
      <c r="D214" s="50"/>
      <c r="E214" s="248"/>
      <c r="H214" s="50"/>
      <c r="I214" s="50"/>
    </row>
    <row r="215" spans="1:9" s="249" customFormat="1" x14ac:dyDescent="0.2">
      <c r="A215" s="246"/>
      <c r="B215" s="233"/>
      <c r="C215" s="242"/>
      <c r="D215" s="50"/>
      <c r="E215" s="248"/>
      <c r="H215" s="50"/>
      <c r="I215" s="50"/>
    </row>
    <row r="216" spans="1:9" s="249" customFormat="1" x14ac:dyDescent="0.2">
      <c r="A216" s="246"/>
      <c r="B216" s="233"/>
      <c r="C216" s="242"/>
      <c r="D216" s="50"/>
      <c r="E216" s="248"/>
      <c r="H216" s="50"/>
      <c r="I216" s="50"/>
    </row>
    <row r="217" spans="1:9" s="249" customFormat="1" x14ac:dyDescent="0.2">
      <c r="A217" s="246"/>
      <c r="B217" s="233"/>
      <c r="C217" s="242"/>
      <c r="D217" s="50"/>
      <c r="E217" s="248"/>
      <c r="H217" s="50"/>
      <c r="I217" s="50"/>
    </row>
    <row r="218" spans="1:9" s="249" customFormat="1" x14ac:dyDescent="0.2">
      <c r="A218" s="246"/>
      <c r="B218" s="233"/>
      <c r="C218" s="242"/>
      <c r="D218" s="50"/>
      <c r="E218" s="248"/>
      <c r="H218" s="50"/>
      <c r="I218" s="50"/>
    </row>
    <row r="219" spans="1:9" s="249" customFormat="1" x14ac:dyDescent="0.2">
      <c r="A219" s="246"/>
      <c r="B219" s="233"/>
      <c r="C219" s="242"/>
      <c r="D219" s="50"/>
      <c r="E219" s="248"/>
      <c r="H219" s="50"/>
      <c r="I219" s="50"/>
    </row>
    <row r="220" spans="1:9" s="249" customFormat="1" x14ac:dyDescent="0.2">
      <c r="A220" s="246"/>
      <c r="B220" s="233"/>
      <c r="C220" s="242"/>
      <c r="D220" s="50"/>
      <c r="E220" s="248"/>
      <c r="H220" s="50"/>
      <c r="I220" s="50"/>
    </row>
    <row r="221" spans="1:9" s="249" customFormat="1" x14ac:dyDescent="0.2">
      <c r="A221" s="246"/>
      <c r="B221" s="233"/>
      <c r="C221" s="242"/>
      <c r="D221" s="50"/>
      <c r="E221" s="248"/>
      <c r="H221" s="50"/>
      <c r="I221" s="50"/>
    </row>
    <row r="222" spans="1:9" s="249" customFormat="1" x14ac:dyDescent="0.2">
      <c r="A222" s="246"/>
      <c r="B222" s="233"/>
      <c r="C222" s="242"/>
      <c r="D222" s="50"/>
      <c r="E222" s="248"/>
      <c r="H222" s="50"/>
      <c r="I222" s="50"/>
    </row>
    <row r="223" spans="1:9" s="249" customFormat="1" x14ac:dyDescent="0.2">
      <c r="A223" s="246"/>
      <c r="B223" s="233"/>
      <c r="C223" s="242"/>
      <c r="D223" s="50"/>
      <c r="E223" s="248"/>
      <c r="H223" s="50"/>
      <c r="I223" s="50"/>
    </row>
    <row r="224" spans="1:9" s="249" customFormat="1" x14ac:dyDescent="0.2">
      <c r="A224" s="246"/>
      <c r="B224" s="233"/>
      <c r="C224" s="242"/>
      <c r="D224" s="50"/>
      <c r="E224" s="248"/>
      <c r="H224" s="50"/>
      <c r="I224" s="50"/>
    </row>
    <row r="225" spans="1:9" s="249" customFormat="1" x14ac:dyDescent="0.2">
      <c r="A225" s="246"/>
      <c r="B225" s="233"/>
      <c r="C225" s="242"/>
      <c r="D225" s="50"/>
      <c r="E225" s="248"/>
      <c r="H225" s="50"/>
      <c r="I225" s="50"/>
    </row>
    <row r="226" spans="1:9" s="249" customFormat="1" x14ac:dyDescent="0.2">
      <c r="A226" s="246"/>
      <c r="B226" s="233"/>
      <c r="C226" s="242"/>
      <c r="D226" s="50"/>
      <c r="E226" s="248"/>
      <c r="H226" s="50"/>
      <c r="I226" s="50"/>
    </row>
    <row r="227" spans="1:9" s="249" customFormat="1" x14ac:dyDescent="0.2">
      <c r="A227" s="246"/>
      <c r="B227" s="233"/>
      <c r="C227" s="242"/>
      <c r="D227" s="50"/>
      <c r="E227" s="248"/>
      <c r="H227" s="50"/>
      <c r="I227" s="50"/>
    </row>
    <row r="228" spans="1:9" s="249" customFormat="1" x14ac:dyDescent="0.2">
      <c r="A228" s="246"/>
      <c r="B228" s="233"/>
      <c r="C228" s="242"/>
      <c r="D228" s="50"/>
      <c r="E228" s="248"/>
      <c r="H228" s="50"/>
      <c r="I228" s="50"/>
    </row>
    <row r="229" spans="1:9" s="249" customFormat="1" x14ac:dyDescent="0.2">
      <c r="A229" s="246"/>
      <c r="B229" s="233"/>
      <c r="C229" s="242"/>
      <c r="D229" s="50"/>
      <c r="E229" s="248"/>
      <c r="H229" s="50"/>
      <c r="I229" s="50"/>
    </row>
    <row r="230" spans="1:9" s="249" customFormat="1" x14ac:dyDescent="0.2">
      <c r="A230" s="246"/>
      <c r="B230" s="233"/>
      <c r="C230" s="242"/>
      <c r="D230" s="50"/>
      <c r="E230" s="248"/>
      <c r="H230" s="50"/>
      <c r="I230" s="50"/>
    </row>
    <row r="231" spans="1:9" s="249" customFormat="1" x14ac:dyDescent="0.2">
      <c r="A231" s="246"/>
      <c r="B231" s="233"/>
      <c r="C231" s="242"/>
      <c r="D231" s="50"/>
      <c r="E231" s="248"/>
      <c r="H231" s="50"/>
      <c r="I231" s="50"/>
    </row>
    <row r="232" spans="1:9" s="249" customFormat="1" x14ac:dyDescent="0.2">
      <c r="A232" s="246"/>
      <c r="B232" s="233"/>
      <c r="C232" s="242"/>
      <c r="D232" s="50"/>
      <c r="E232" s="248"/>
      <c r="H232" s="50"/>
      <c r="I232" s="50"/>
    </row>
    <row r="233" spans="1:9" s="249" customFormat="1" x14ac:dyDescent="0.2">
      <c r="A233" s="246"/>
      <c r="B233" s="233"/>
      <c r="C233" s="242"/>
      <c r="D233" s="50"/>
      <c r="E233" s="248"/>
      <c r="H233" s="50"/>
      <c r="I233" s="50"/>
    </row>
    <row r="234" spans="1:9" s="249" customFormat="1" x14ac:dyDescent="0.2">
      <c r="A234" s="246"/>
      <c r="B234" s="233"/>
      <c r="C234" s="242"/>
      <c r="D234" s="50"/>
      <c r="E234" s="248"/>
      <c r="H234" s="50"/>
      <c r="I234" s="50"/>
    </row>
    <row r="235" spans="1:9" s="249" customFormat="1" x14ac:dyDescent="0.2">
      <c r="A235" s="246"/>
      <c r="B235" s="233"/>
      <c r="C235" s="242"/>
      <c r="D235" s="50"/>
      <c r="E235" s="248"/>
      <c r="H235" s="50"/>
      <c r="I235" s="50"/>
    </row>
    <row r="236" spans="1:9" s="249" customFormat="1" x14ac:dyDescent="0.2">
      <c r="A236" s="246"/>
      <c r="B236" s="233"/>
      <c r="C236" s="242"/>
      <c r="D236" s="50"/>
      <c r="E236" s="248"/>
      <c r="H236" s="50"/>
      <c r="I236" s="50"/>
    </row>
    <row r="237" spans="1:9" s="249" customFormat="1" x14ac:dyDescent="0.2">
      <c r="A237" s="246"/>
      <c r="B237" s="233"/>
      <c r="C237" s="242"/>
      <c r="D237" s="50"/>
      <c r="E237" s="248"/>
      <c r="H237" s="50"/>
      <c r="I237" s="50"/>
    </row>
    <row r="238" spans="1:9" s="249" customFormat="1" x14ac:dyDescent="0.2">
      <c r="A238" s="246"/>
      <c r="B238" s="233"/>
      <c r="C238" s="242"/>
      <c r="D238" s="50"/>
      <c r="E238" s="248"/>
      <c r="H238" s="50"/>
      <c r="I238" s="50"/>
    </row>
    <row r="239" spans="1:9" s="249" customFormat="1" x14ac:dyDescent="0.2">
      <c r="A239" s="246"/>
      <c r="B239" s="233"/>
      <c r="C239" s="242"/>
      <c r="D239" s="50"/>
      <c r="E239" s="248"/>
      <c r="H239" s="50"/>
      <c r="I239" s="50"/>
    </row>
    <row r="240" spans="1:9" s="249" customFormat="1" x14ac:dyDescent="0.2">
      <c r="A240" s="246"/>
      <c r="B240" s="233"/>
      <c r="C240" s="242"/>
      <c r="D240" s="50"/>
      <c r="E240" s="248"/>
      <c r="H240" s="50"/>
      <c r="I240" s="50"/>
    </row>
    <row r="241" spans="1:9" s="249" customFormat="1" x14ac:dyDescent="0.2">
      <c r="A241" s="246"/>
      <c r="B241" s="233"/>
      <c r="C241" s="242"/>
      <c r="D241" s="50"/>
      <c r="E241" s="248"/>
      <c r="H241" s="50"/>
      <c r="I241" s="50"/>
    </row>
    <row r="242" spans="1:9" s="249" customFormat="1" x14ac:dyDescent="0.2">
      <c r="A242" s="246"/>
      <c r="B242" s="233"/>
      <c r="C242" s="242"/>
      <c r="D242" s="50"/>
      <c r="E242" s="248"/>
      <c r="H242" s="50"/>
      <c r="I242" s="50"/>
    </row>
    <row r="243" spans="1:9" s="249" customFormat="1" x14ac:dyDescent="0.2">
      <c r="A243" s="246"/>
      <c r="B243" s="233"/>
      <c r="C243" s="242"/>
      <c r="D243" s="50"/>
      <c r="E243" s="248"/>
      <c r="H243" s="50"/>
      <c r="I243" s="50"/>
    </row>
    <row r="244" spans="1:9" s="249" customFormat="1" x14ac:dyDescent="0.2">
      <c r="A244" s="246"/>
      <c r="B244" s="233"/>
      <c r="C244" s="242"/>
      <c r="D244" s="50"/>
      <c r="E244" s="248"/>
      <c r="H244" s="50"/>
      <c r="I244" s="50"/>
    </row>
    <row r="245" spans="1:9" s="249" customFormat="1" x14ac:dyDescent="0.2">
      <c r="A245" s="246"/>
      <c r="B245" s="233"/>
      <c r="C245" s="242"/>
      <c r="D245" s="50"/>
      <c r="E245" s="248"/>
      <c r="H245" s="50"/>
      <c r="I245" s="50"/>
    </row>
    <row r="246" spans="1:9" s="249" customFormat="1" x14ac:dyDescent="0.2">
      <c r="A246" s="246"/>
      <c r="B246" s="233"/>
      <c r="C246" s="242"/>
      <c r="D246" s="50"/>
      <c r="E246" s="248"/>
      <c r="H246" s="50"/>
      <c r="I246" s="50"/>
    </row>
    <row r="247" spans="1:9" s="249" customFormat="1" x14ac:dyDescent="0.2">
      <c r="A247" s="246"/>
      <c r="B247" s="233"/>
      <c r="C247" s="242"/>
      <c r="D247" s="50"/>
      <c r="E247" s="248"/>
      <c r="H247" s="50"/>
      <c r="I247" s="50"/>
    </row>
    <row r="248" spans="1:9" s="249" customFormat="1" x14ac:dyDescent="0.2">
      <c r="A248" s="246"/>
      <c r="B248" s="233"/>
      <c r="C248" s="242"/>
      <c r="D248" s="50"/>
      <c r="E248" s="248"/>
      <c r="H248" s="50"/>
      <c r="I248" s="50"/>
    </row>
    <row r="249" spans="1:9" s="249" customFormat="1" x14ac:dyDescent="0.2">
      <c r="A249" s="246"/>
      <c r="B249" s="233"/>
      <c r="C249" s="242"/>
      <c r="D249" s="50"/>
      <c r="E249" s="248"/>
      <c r="H249" s="50"/>
      <c r="I249" s="50"/>
    </row>
    <row r="250" spans="1:9" s="249" customFormat="1" x14ac:dyDescent="0.2">
      <c r="A250" s="246"/>
      <c r="B250" s="233"/>
      <c r="C250" s="242"/>
      <c r="D250" s="50"/>
      <c r="E250" s="248"/>
      <c r="H250" s="50"/>
      <c r="I250" s="50"/>
    </row>
    <row r="251" spans="1:9" s="249" customFormat="1" x14ac:dyDescent="0.2">
      <c r="A251" s="246"/>
      <c r="B251" s="233"/>
      <c r="C251" s="242"/>
      <c r="D251" s="50"/>
      <c r="E251" s="248"/>
      <c r="H251" s="50"/>
      <c r="I251" s="50"/>
    </row>
    <row r="252" spans="1:9" s="249" customFormat="1" x14ac:dyDescent="0.2">
      <c r="A252" s="246"/>
      <c r="B252" s="233"/>
      <c r="C252" s="242"/>
      <c r="D252" s="50"/>
      <c r="E252" s="248"/>
      <c r="H252" s="50"/>
      <c r="I252" s="50"/>
    </row>
    <row r="253" spans="1:9" s="249" customFormat="1" x14ac:dyDescent="0.2">
      <c r="A253" s="246"/>
      <c r="B253" s="233"/>
      <c r="C253" s="242"/>
      <c r="D253" s="50"/>
      <c r="E253" s="248"/>
      <c r="H253" s="50"/>
      <c r="I253" s="50"/>
    </row>
    <row r="254" spans="1:9" s="249" customFormat="1" x14ac:dyDescent="0.2">
      <c r="A254" s="246"/>
      <c r="B254" s="233"/>
      <c r="C254" s="242"/>
      <c r="D254" s="50"/>
      <c r="E254" s="248"/>
      <c r="H254" s="50"/>
      <c r="I254" s="50"/>
    </row>
    <row r="255" spans="1:9" s="249" customFormat="1" x14ac:dyDescent="0.2">
      <c r="A255" s="246"/>
      <c r="B255" s="233"/>
      <c r="C255" s="242"/>
      <c r="D255" s="50"/>
      <c r="E255" s="248"/>
      <c r="H255" s="50"/>
      <c r="I255" s="50"/>
    </row>
    <row r="256" spans="1:9" s="249" customFormat="1" x14ac:dyDescent="0.2">
      <c r="A256" s="246"/>
      <c r="B256" s="233"/>
      <c r="C256" s="242"/>
      <c r="D256" s="50"/>
      <c r="E256" s="248"/>
      <c r="H256" s="50"/>
      <c r="I256" s="50"/>
    </row>
    <row r="257" spans="1:9" s="249" customFormat="1" x14ac:dyDescent="0.2">
      <c r="A257" s="246"/>
      <c r="B257" s="233"/>
      <c r="C257" s="242"/>
      <c r="D257" s="50"/>
      <c r="E257" s="248"/>
      <c r="H257" s="50"/>
      <c r="I257" s="50"/>
    </row>
    <row r="258" spans="1:9" s="249" customFormat="1" x14ac:dyDescent="0.2">
      <c r="A258" s="246"/>
      <c r="B258" s="233"/>
      <c r="C258" s="242"/>
      <c r="D258" s="50"/>
      <c r="E258" s="248"/>
      <c r="H258" s="50"/>
      <c r="I258" s="50"/>
    </row>
    <row r="259" spans="1:9" s="249" customFormat="1" x14ac:dyDescent="0.2">
      <c r="A259" s="246"/>
      <c r="B259" s="233"/>
      <c r="C259" s="242"/>
      <c r="D259" s="50"/>
      <c r="E259" s="248"/>
      <c r="H259" s="50"/>
      <c r="I259" s="50"/>
    </row>
    <row r="260" spans="1:9" s="249" customFormat="1" x14ac:dyDescent="0.2">
      <c r="A260" s="246"/>
      <c r="B260" s="233"/>
      <c r="C260" s="242"/>
      <c r="D260" s="50"/>
      <c r="E260" s="248"/>
      <c r="H260" s="50"/>
      <c r="I260" s="50"/>
    </row>
    <row r="261" spans="1:9" s="249" customFormat="1" x14ac:dyDescent="0.2">
      <c r="A261" s="246"/>
      <c r="B261" s="233"/>
      <c r="C261" s="242"/>
      <c r="D261" s="50"/>
      <c r="E261" s="248"/>
      <c r="H261" s="50"/>
      <c r="I261" s="50"/>
    </row>
    <row r="262" spans="1:9" s="249" customFormat="1" x14ac:dyDescent="0.2">
      <c r="A262" s="246"/>
      <c r="B262" s="233"/>
      <c r="C262" s="242"/>
      <c r="D262" s="50"/>
      <c r="E262" s="248"/>
      <c r="H262" s="50"/>
      <c r="I262" s="50"/>
    </row>
    <row r="263" spans="1:9" s="249" customFormat="1" x14ac:dyDescent="0.2">
      <c r="A263" s="246"/>
      <c r="B263" s="233"/>
      <c r="C263" s="242"/>
      <c r="D263" s="50"/>
      <c r="E263" s="248"/>
      <c r="H263" s="50"/>
      <c r="I263" s="50"/>
    </row>
    <row r="264" spans="1:9" s="249" customFormat="1" x14ac:dyDescent="0.2">
      <c r="A264" s="246"/>
      <c r="B264" s="233"/>
      <c r="C264" s="242"/>
      <c r="D264" s="50"/>
      <c r="E264" s="248"/>
      <c r="H264" s="50"/>
      <c r="I264" s="50"/>
    </row>
    <row r="265" spans="1:9" s="249" customFormat="1" x14ac:dyDescent="0.2">
      <c r="A265" s="246"/>
      <c r="B265" s="233"/>
      <c r="C265" s="242"/>
      <c r="D265" s="50"/>
      <c r="E265" s="248"/>
      <c r="H265" s="50"/>
      <c r="I265" s="50"/>
    </row>
    <row r="266" spans="1:9" s="249" customFormat="1" x14ac:dyDescent="0.2">
      <c r="A266" s="246"/>
      <c r="B266" s="233"/>
      <c r="C266" s="242"/>
      <c r="D266" s="50"/>
      <c r="E266" s="248"/>
      <c r="H266" s="50"/>
      <c r="I266" s="50"/>
    </row>
    <row r="267" spans="1:9" s="249" customFormat="1" x14ac:dyDescent="0.2">
      <c r="A267" s="246"/>
      <c r="B267" s="233"/>
      <c r="C267" s="242"/>
      <c r="D267" s="50"/>
      <c r="E267" s="248"/>
      <c r="H267" s="50"/>
      <c r="I267" s="50"/>
    </row>
    <row r="268" spans="1:9" s="249" customFormat="1" x14ac:dyDescent="0.2">
      <c r="A268" s="246"/>
      <c r="B268" s="233"/>
      <c r="C268" s="242"/>
      <c r="D268" s="50"/>
      <c r="E268" s="248"/>
      <c r="H268" s="50"/>
      <c r="I268" s="50"/>
    </row>
    <row r="269" spans="1:9" s="249" customFormat="1" x14ac:dyDescent="0.2">
      <c r="A269" s="246"/>
      <c r="B269" s="233"/>
      <c r="C269" s="242"/>
      <c r="D269" s="50"/>
      <c r="E269" s="248"/>
      <c r="H269" s="50"/>
      <c r="I269" s="50"/>
    </row>
    <row r="270" spans="1:9" s="249" customFormat="1" x14ac:dyDescent="0.2">
      <c r="A270" s="246"/>
      <c r="B270" s="233"/>
      <c r="C270" s="242"/>
      <c r="D270" s="50"/>
      <c r="E270" s="248"/>
      <c r="H270" s="50"/>
      <c r="I270" s="50"/>
    </row>
    <row r="271" spans="1:9" s="249" customFormat="1" x14ac:dyDescent="0.2">
      <c r="A271" s="246"/>
      <c r="B271" s="233"/>
      <c r="C271" s="242"/>
      <c r="D271" s="50"/>
      <c r="E271" s="248"/>
      <c r="H271" s="50"/>
      <c r="I271" s="50"/>
    </row>
    <row r="272" spans="1:9" s="249" customFormat="1" x14ac:dyDescent="0.2">
      <c r="A272" s="246"/>
      <c r="B272" s="233"/>
      <c r="C272" s="242"/>
      <c r="D272" s="50"/>
      <c r="E272" s="248"/>
      <c r="H272" s="50"/>
      <c r="I272" s="50"/>
    </row>
    <row r="273" spans="1:9" s="249" customFormat="1" x14ac:dyDescent="0.2">
      <c r="A273" s="246"/>
      <c r="B273" s="233"/>
      <c r="C273" s="242"/>
      <c r="D273" s="50"/>
      <c r="E273" s="248"/>
      <c r="H273" s="50"/>
      <c r="I273" s="50"/>
    </row>
    <row r="274" spans="1:9" s="249" customFormat="1" x14ac:dyDescent="0.2">
      <c r="A274" s="246"/>
      <c r="B274" s="233"/>
      <c r="C274" s="242"/>
      <c r="D274" s="50"/>
      <c r="E274" s="248"/>
      <c r="H274" s="50"/>
      <c r="I274" s="50"/>
    </row>
    <row r="275" spans="1:9" s="249" customFormat="1" x14ac:dyDescent="0.2">
      <c r="A275" s="246"/>
      <c r="B275" s="233"/>
      <c r="C275" s="242"/>
      <c r="D275" s="50"/>
      <c r="E275" s="248"/>
      <c r="H275" s="50"/>
      <c r="I275" s="50"/>
    </row>
    <row r="276" spans="1:9" s="249" customFormat="1" x14ac:dyDescent="0.2">
      <c r="A276" s="246"/>
      <c r="B276" s="233"/>
      <c r="C276" s="242"/>
      <c r="D276" s="50"/>
      <c r="E276" s="248"/>
      <c r="H276" s="50"/>
      <c r="I276" s="50"/>
    </row>
    <row r="277" spans="1:9" s="249" customFormat="1" x14ac:dyDescent="0.2">
      <c r="A277" s="246"/>
      <c r="B277" s="233"/>
      <c r="C277" s="242"/>
      <c r="D277" s="50"/>
      <c r="E277" s="248"/>
      <c r="H277" s="50"/>
      <c r="I277" s="50"/>
    </row>
    <row r="278" spans="1:9" s="249" customFormat="1" x14ac:dyDescent="0.2">
      <c r="A278" s="246"/>
      <c r="B278" s="233"/>
      <c r="C278" s="242"/>
      <c r="D278" s="50"/>
      <c r="E278" s="248"/>
      <c r="H278" s="50"/>
      <c r="I278" s="50"/>
    </row>
    <row r="279" spans="1:9" s="249" customFormat="1" x14ac:dyDescent="0.2">
      <c r="A279" s="246"/>
      <c r="B279" s="233"/>
      <c r="C279" s="242"/>
      <c r="D279" s="50"/>
      <c r="E279" s="248"/>
      <c r="H279" s="50"/>
      <c r="I279" s="50"/>
    </row>
    <row r="280" spans="1:9" s="249" customFormat="1" x14ac:dyDescent="0.2">
      <c r="A280" s="246"/>
      <c r="B280" s="233"/>
      <c r="C280" s="242"/>
      <c r="D280" s="50"/>
      <c r="E280" s="248"/>
      <c r="H280" s="50"/>
      <c r="I280" s="50"/>
    </row>
    <row r="281" spans="1:9" s="249" customFormat="1" x14ac:dyDescent="0.2">
      <c r="A281" s="246"/>
      <c r="B281" s="233"/>
      <c r="C281" s="242"/>
      <c r="D281" s="50"/>
      <c r="E281" s="248"/>
      <c r="H281" s="50"/>
      <c r="I281" s="50"/>
    </row>
    <row r="282" spans="1:9" s="249" customFormat="1" x14ac:dyDescent="0.2">
      <c r="A282" s="246"/>
      <c r="B282" s="233"/>
      <c r="C282" s="242"/>
      <c r="D282" s="50"/>
      <c r="E282" s="248"/>
      <c r="H282" s="50"/>
      <c r="I282" s="50"/>
    </row>
    <row r="283" spans="1:9" s="249" customFormat="1" x14ac:dyDescent="0.2">
      <c r="A283" s="246"/>
      <c r="B283" s="233"/>
      <c r="C283" s="242"/>
      <c r="D283" s="50"/>
      <c r="E283" s="248"/>
      <c r="H283" s="50"/>
      <c r="I283" s="50"/>
    </row>
    <row r="284" spans="1:9" s="249" customFormat="1" x14ac:dyDescent="0.2">
      <c r="A284" s="246"/>
      <c r="B284" s="233"/>
      <c r="C284" s="242"/>
      <c r="D284" s="50"/>
      <c r="E284" s="248"/>
      <c r="H284" s="50"/>
      <c r="I284" s="50"/>
    </row>
    <row r="285" spans="1:9" s="249" customFormat="1" x14ac:dyDescent="0.2">
      <c r="A285" s="246"/>
      <c r="B285" s="233"/>
      <c r="C285" s="242"/>
      <c r="D285" s="50"/>
      <c r="E285" s="248"/>
      <c r="H285" s="50"/>
      <c r="I285" s="50"/>
    </row>
    <row r="286" spans="1:9" s="249" customFormat="1" x14ac:dyDescent="0.2">
      <c r="A286" s="246"/>
      <c r="B286" s="233"/>
      <c r="C286" s="242"/>
      <c r="D286" s="50"/>
      <c r="E286" s="248"/>
      <c r="H286" s="50"/>
      <c r="I286" s="50"/>
    </row>
    <row r="287" spans="1:9" s="249" customFormat="1" x14ac:dyDescent="0.2">
      <c r="A287" s="246"/>
      <c r="B287" s="233"/>
      <c r="C287" s="242"/>
      <c r="D287" s="50"/>
      <c r="E287" s="248"/>
      <c r="H287" s="50"/>
      <c r="I287" s="50"/>
    </row>
    <row r="288" spans="1:9" s="249" customFormat="1" x14ac:dyDescent="0.2">
      <c r="A288" s="246"/>
      <c r="B288" s="233"/>
      <c r="C288" s="242"/>
      <c r="D288" s="50"/>
      <c r="E288" s="248"/>
      <c r="H288" s="50"/>
      <c r="I288" s="50"/>
    </row>
    <row r="289" spans="1:9" s="249" customFormat="1" x14ac:dyDescent="0.2">
      <c r="A289" s="246"/>
      <c r="B289" s="233"/>
      <c r="C289" s="242"/>
      <c r="D289" s="50"/>
      <c r="E289" s="248"/>
      <c r="H289" s="50"/>
      <c r="I289" s="50"/>
    </row>
    <row r="290" spans="1:9" s="249" customFormat="1" x14ac:dyDescent="0.2">
      <c r="A290" s="246"/>
      <c r="B290" s="233"/>
      <c r="C290" s="242"/>
      <c r="D290" s="50"/>
      <c r="E290" s="248"/>
      <c r="H290" s="50"/>
      <c r="I290" s="50"/>
    </row>
    <row r="291" spans="1:9" s="249" customFormat="1" x14ac:dyDescent="0.2">
      <c r="A291" s="246"/>
      <c r="B291" s="233"/>
      <c r="C291" s="242"/>
      <c r="D291" s="50"/>
      <c r="E291" s="248"/>
      <c r="H291" s="50"/>
      <c r="I291" s="50"/>
    </row>
    <row r="292" spans="1:9" s="249" customFormat="1" x14ac:dyDescent="0.2">
      <c r="A292" s="246"/>
      <c r="B292" s="233"/>
      <c r="C292" s="242"/>
      <c r="D292" s="50"/>
      <c r="E292" s="248"/>
      <c r="H292" s="50"/>
      <c r="I292" s="50"/>
    </row>
    <row r="293" spans="1:9" s="249" customFormat="1" x14ac:dyDescent="0.2">
      <c r="A293" s="246"/>
      <c r="B293" s="233"/>
      <c r="C293" s="242"/>
      <c r="D293" s="50"/>
      <c r="E293" s="248"/>
      <c r="H293" s="50"/>
      <c r="I293" s="50"/>
    </row>
    <row r="294" spans="1:9" s="249" customFormat="1" x14ac:dyDescent="0.2">
      <c r="A294" s="246"/>
      <c r="B294" s="233"/>
      <c r="C294" s="242"/>
      <c r="D294" s="50"/>
      <c r="E294" s="248"/>
      <c r="H294" s="50"/>
      <c r="I294" s="50"/>
    </row>
    <row r="295" spans="1:9" s="249" customFormat="1" x14ac:dyDescent="0.2">
      <c r="A295" s="246"/>
      <c r="B295" s="233"/>
      <c r="C295" s="242"/>
      <c r="D295" s="50"/>
      <c r="E295" s="248"/>
      <c r="H295" s="50"/>
      <c r="I295" s="50"/>
    </row>
    <row r="296" spans="1:9" s="249" customFormat="1" x14ac:dyDescent="0.2">
      <c r="A296" s="246"/>
      <c r="B296" s="233"/>
      <c r="C296" s="242"/>
      <c r="D296" s="50"/>
      <c r="E296" s="248"/>
      <c r="H296" s="50"/>
      <c r="I296" s="50"/>
    </row>
    <row r="297" spans="1:9" s="249" customFormat="1" x14ac:dyDescent="0.2">
      <c r="A297" s="246"/>
      <c r="B297" s="233"/>
      <c r="C297" s="242"/>
      <c r="D297" s="50"/>
      <c r="E297" s="248"/>
      <c r="H297" s="50"/>
      <c r="I297" s="50"/>
    </row>
    <row r="298" spans="1:9" s="249" customFormat="1" x14ac:dyDescent="0.2">
      <c r="A298" s="246"/>
      <c r="B298" s="233"/>
      <c r="C298" s="242"/>
      <c r="D298" s="50"/>
      <c r="E298" s="248"/>
      <c r="H298" s="50"/>
      <c r="I298" s="50"/>
    </row>
    <row r="299" spans="1:9" s="249" customFormat="1" x14ac:dyDescent="0.2">
      <c r="A299" s="246"/>
      <c r="B299" s="233"/>
      <c r="C299" s="242"/>
      <c r="D299" s="50"/>
      <c r="E299" s="248"/>
      <c r="H299" s="50"/>
      <c r="I299" s="50"/>
    </row>
    <row r="300" spans="1:9" s="249" customFormat="1" x14ac:dyDescent="0.2">
      <c r="A300" s="246"/>
      <c r="B300" s="233"/>
      <c r="C300" s="242"/>
      <c r="D300" s="50"/>
      <c r="E300" s="248"/>
      <c r="H300" s="50"/>
      <c r="I300" s="50"/>
    </row>
    <row r="301" spans="1:9" s="249" customFormat="1" x14ac:dyDescent="0.2">
      <c r="A301" s="246"/>
      <c r="B301" s="233"/>
      <c r="C301" s="242"/>
      <c r="D301" s="50"/>
      <c r="E301" s="248"/>
      <c r="H301" s="50"/>
      <c r="I301" s="50"/>
    </row>
    <row r="302" spans="1:9" s="249" customFormat="1" x14ac:dyDescent="0.2">
      <c r="A302" s="246"/>
      <c r="B302" s="233"/>
      <c r="C302" s="242"/>
      <c r="D302" s="50"/>
      <c r="E302" s="248"/>
      <c r="H302" s="50"/>
      <c r="I302" s="50"/>
    </row>
    <row r="303" spans="1:9" s="249" customFormat="1" x14ac:dyDescent="0.2">
      <c r="A303" s="246"/>
      <c r="B303" s="233"/>
      <c r="C303" s="242"/>
      <c r="D303" s="50"/>
      <c r="E303" s="248"/>
      <c r="H303" s="50"/>
      <c r="I303" s="50"/>
    </row>
    <row r="304" spans="1:9" s="249" customFormat="1" x14ac:dyDescent="0.2">
      <c r="A304" s="246"/>
      <c r="B304" s="233"/>
      <c r="C304" s="242"/>
      <c r="D304" s="50"/>
      <c r="E304" s="248"/>
      <c r="H304" s="50"/>
      <c r="I304" s="50"/>
    </row>
    <row r="305" spans="1:9" s="249" customFormat="1" x14ac:dyDescent="0.2">
      <c r="A305" s="246"/>
      <c r="B305" s="233"/>
      <c r="C305" s="242"/>
      <c r="D305" s="50"/>
      <c r="E305" s="248"/>
      <c r="H305" s="50"/>
      <c r="I305" s="50"/>
    </row>
    <row r="306" spans="1:9" s="249" customFormat="1" x14ac:dyDescent="0.2">
      <c r="A306" s="246"/>
      <c r="B306" s="233"/>
      <c r="C306" s="242"/>
      <c r="D306" s="50"/>
      <c r="E306" s="248"/>
      <c r="H306" s="50"/>
      <c r="I306" s="50"/>
    </row>
    <row r="307" spans="1:9" s="249" customFormat="1" x14ac:dyDescent="0.2">
      <c r="A307" s="246"/>
      <c r="B307" s="233"/>
      <c r="C307" s="242"/>
      <c r="D307" s="50"/>
      <c r="E307" s="248"/>
      <c r="H307" s="50"/>
      <c r="I307" s="50"/>
    </row>
    <row r="308" spans="1:9" s="249" customFormat="1" x14ac:dyDescent="0.2">
      <c r="A308" s="246"/>
      <c r="B308" s="233"/>
      <c r="C308" s="242"/>
      <c r="D308" s="50"/>
      <c r="E308" s="248"/>
      <c r="H308" s="50"/>
      <c r="I308" s="50"/>
    </row>
    <row r="309" spans="1:9" s="249" customFormat="1" x14ac:dyDescent="0.2">
      <c r="A309" s="246"/>
      <c r="B309" s="233"/>
      <c r="C309" s="242"/>
      <c r="D309" s="50"/>
      <c r="E309" s="248"/>
      <c r="H309" s="50"/>
      <c r="I309" s="50"/>
    </row>
    <row r="310" spans="1:9" s="249" customFormat="1" x14ac:dyDescent="0.2">
      <c r="A310" s="246"/>
      <c r="B310" s="233"/>
      <c r="C310" s="242"/>
      <c r="D310" s="50"/>
      <c r="E310" s="248"/>
      <c r="H310" s="50"/>
      <c r="I310" s="50"/>
    </row>
    <row r="311" spans="1:9" s="249" customFormat="1" x14ac:dyDescent="0.2">
      <c r="A311" s="246"/>
      <c r="B311" s="233"/>
      <c r="C311" s="242"/>
      <c r="D311" s="50"/>
      <c r="E311" s="248"/>
      <c r="H311" s="50"/>
      <c r="I311" s="50"/>
    </row>
    <row r="312" spans="1:9" s="249" customFormat="1" x14ac:dyDescent="0.2">
      <c r="A312" s="246"/>
      <c r="B312" s="233"/>
      <c r="C312" s="242"/>
      <c r="D312" s="50"/>
      <c r="E312" s="248"/>
      <c r="H312" s="50"/>
      <c r="I312" s="50"/>
    </row>
    <row r="313" spans="1:9" s="249" customFormat="1" x14ac:dyDescent="0.2">
      <c r="A313" s="246"/>
      <c r="B313" s="233"/>
      <c r="C313" s="242"/>
      <c r="D313" s="50"/>
      <c r="E313" s="248"/>
      <c r="H313" s="50"/>
      <c r="I313" s="50"/>
    </row>
    <row r="314" spans="1:9" s="249" customFormat="1" x14ac:dyDescent="0.2">
      <c r="A314" s="246"/>
      <c r="B314" s="233"/>
      <c r="C314" s="242"/>
      <c r="D314" s="50"/>
      <c r="E314" s="248"/>
      <c r="H314" s="50"/>
      <c r="I314" s="50"/>
    </row>
    <row r="315" spans="1:9" s="249" customFormat="1" x14ac:dyDescent="0.2">
      <c r="A315" s="246"/>
      <c r="B315" s="233"/>
      <c r="C315" s="242"/>
      <c r="D315" s="50"/>
      <c r="E315" s="248"/>
      <c r="H315" s="50"/>
      <c r="I315" s="50"/>
    </row>
    <row r="316" spans="1:9" s="249" customFormat="1" x14ac:dyDescent="0.2">
      <c r="A316" s="246"/>
      <c r="B316" s="233"/>
      <c r="C316" s="242"/>
      <c r="D316" s="50"/>
      <c r="E316" s="248"/>
      <c r="H316" s="50"/>
      <c r="I316" s="50"/>
    </row>
    <row r="317" spans="1:9" s="249" customFormat="1" x14ac:dyDescent="0.2">
      <c r="A317" s="246"/>
      <c r="B317" s="233"/>
      <c r="C317" s="242"/>
      <c r="D317" s="50"/>
      <c r="E317" s="248"/>
      <c r="H317" s="50"/>
      <c r="I317" s="50"/>
    </row>
    <row r="318" spans="1:9" s="249" customFormat="1" x14ac:dyDescent="0.2">
      <c r="A318" s="246"/>
      <c r="B318" s="233"/>
      <c r="C318" s="242"/>
      <c r="D318" s="50"/>
      <c r="E318" s="248"/>
      <c r="H318" s="50"/>
      <c r="I318" s="50"/>
    </row>
    <row r="319" spans="1:9" s="249" customFormat="1" x14ac:dyDescent="0.2">
      <c r="A319" s="246"/>
      <c r="B319" s="233"/>
      <c r="C319" s="242"/>
      <c r="D319" s="50"/>
      <c r="E319" s="248"/>
      <c r="H319" s="50"/>
      <c r="I319" s="50"/>
    </row>
    <row r="320" spans="1:9" s="249" customFormat="1" x14ac:dyDescent="0.2">
      <c r="A320" s="246"/>
      <c r="B320" s="233"/>
      <c r="C320" s="242"/>
      <c r="D320" s="50"/>
      <c r="E320" s="248"/>
      <c r="H320" s="50"/>
      <c r="I320" s="50"/>
    </row>
    <row r="321" spans="1:9" s="249" customFormat="1" x14ac:dyDescent="0.2">
      <c r="A321" s="246"/>
      <c r="B321" s="233"/>
      <c r="C321" s="242"/>
      <c r="D321" s="50"/>
      <c r="E321" s="248"/>
      <c r="H321" s="50"/>
      <c r="I321" s="50"/>
    </row>
    <row r="322" spans="1:9" s="249" customFormat="1" x14ac:dyDescent="0.2">
      <c r="A322" s="246"/>
      <c r="B322" s="233"/>
      <c r="C322" s="242"/>
      <c r="D322" s="50"/>
      <c r="E322" s="248"/>
      <c r="H322" s="50"/>
      <c r="I322" s="50"/>
    </row>
    <row r="323" spans="1:9" s="249" customFormat="1" x14ac:dyDescent="0.2">
      <c r="A323" s="246"/>
      <c r="B323" s="233"/>
      <c r="C323" s="242"/>
      <c r="D323" s="50"/>
      <c r="E323" s="248"/>
      <c r="H323" s="50"/>
      <c r="I323" s="50"/>
    </row>
    <row r="324" spans="1:9" s="249" customFormat="1" x14ac:dyDescent="0.2">
      <c r="A324" s="246"/>
      <c r="B324" s="233"/>
      <c r="C324" s="242"/>
      <c r="D324" s="50"/>
      <c r="E324" s="248"/>
      <c r="H324" s="50"/>
      <c r="I324" s="50"/>
    </row>
    <row r="325" spans="1:9" s="249" customFormat="1" x14ac:dyDescent="0.2">
      <c r="A325" s="246"/>
      <c r="B325" s="233"/>
      <c r="C325" s="242"/>
      <c r="D325" s="50"/>
      <c r="E325" s="248"/>
      <c r="H325" s="50"/>
      <c r="I325" s="50"/>
    </row>
    <row r="326" spans="1:9" s="249" customFormat="1" x14ac:dyDescent="0.2">
      <c r="A326" s="246"/>
      <c r="B326" s="233"/>
      <c r="C326" s="242"/>
      <c r="D326" s="50"/>
      <c r="E326" s="248"/>
      <c r="H326" s="50"/>
      <c r="I326" s="50"/>
    </row>
    <row r="327" spans="1:9" s="249" customFormat="1" x14ac:dyDescent="0.2">
      <c r="A327" s="246"/>
      <c r="B327" s="233"/>
      <c r="C327" s="242"/>
      <c r="D327" s="50"/>
      <c r="E327" s="248"/>
      <c r="H327" s="50"/>
      <c r="I327" s="50"/>
    </row>
    <row r="328" spans="1:9" s="249" customFormat="1" x14ac:dyDescent="0.2">
      <c r="A328" s="246"/>
      <c r="B328" s="233"/>
      <c r="C328" s="242"/>
      <c r="D328" s="50"/>
      <c r="E328" s="248"/>
      <c r="H328" s="50"/>
      <c r="I328" s="50"/>
    </row>
    <row r="329" spans="1:9" s="249" customFormat="1" x14ac:dyDescent="0.2">
      <c r="A329" s="246"/>
      <c r="B329" s="233"/>
      <c r="C329" s="242"/>
      <c r="D329" s="50"/>
      <c r="E329" s="248"/>
      <c r="H329" s="50"/>
      <c r="I329" s="50"/>
    </row>
    <row r="330" spans="1:9" s="249" customFormat="1" x14ac:dyDescent="0.2">
      <c r="A330" s="246"/>
      <c r="B330" s="233"/>
      <c r="C330" s="242"/>
      <c r="D330" s="50"/>
      <c r="E330" s="248"/>
      <c r="H330" s="50"/>
      <c r="I330" s="50"/>
    </row>
    <row r="331" spans="1:9" s="249" customFormat="1" x14ac:dyDescent="0.2">
      <c r="A331" s="246"/>
      <c r="B331" s="233"/>
      <c r="C331" s="242"/>
      <c r="D331" s="50"/>
      <c r="E331" s="248"/>
      <c r="H331" s="50"/>
      <c r="I331" s="50"/>
    </row>
    <row r="332" spans="1:9" s="249" customFormat="1" x14ac:dyDescent="0.2">
      <c r="A332" s="246"/>
      <c r="B332" s="233"/>
      <c r="C332" s="242"/>
      <c r="D332" s="50"/>
      <c r="E332" s="248"/>
      <c r="H332" s="50"/>
      <c r="I332" s="50"/>
    </row>
    <row r="333" spans="1:9" s="249" customFormat="1" x14ac:dyDescent="0.2">
      <c r="A333" s="246"/>
      <c r="B333" s="233"/>
      <c r="C333" s="242"/>
      <c r="D333" s="50"/>
      <c r="E333" s="248"/>
      <c r="H333" s="50"/>
      <c r="I333" s="50"/>
    </row>
    <row r="334" spans="1:9" s="249" customFormat="1" x14ac:dyDescent="0.2">
      <c r="A334" s="246"/>
      <c r="B334" s="233"/>
      <c r="C334" s="242"/>
      <c r="D334" s="50"/>
      <c r="E334" s="248"/>
      <c r="H334" s="50"/>
      <c r="I334" s="50"/>
    </row>
    <row r="335" spans="1:9" s="249" customFormat="1" x14ac:dyDescent="0.2">
      <c r="A335" s="246"/>
      <c r="B335" s="233"/>
      <c r="C335" s="242"/>
      <c r="D335" s="50"/>
      <c r="E335" s="248"/>
      <c r="H335" s="50"/>
      <c r="I335" s="50"/>
    </row>
    <row r="336" spans="1:9" s="249" customFormat="1" x14ac:dyDescent="0.2">
      <c r="A336" s="246"/>
      <c r="B336" s="233"/>
      <c r="C336" s="242"/>
      <c r="D336" s="50"/>
      <c r="E336" s="248"/>
      <c r="H336" s="50"/>
      <c r="I336" s="50"/>
    </row>
    <row r="337" spans="1:9" s="249" customFormat="1" x14ac:dyDescent="0.2">
      <c r="A337" s="246"/>
      <c r="B337" s="233"/>
      <c r="C337" s="242"/>
      <c r="D337" s="50"/>
      <c r="E337" s="248"/>
      <c r="H337" s="50"/>
      <c r="I337" s="50"/>
    </row>
    <row r="338" spans="1:9" s="249" customFormat="1" x14ac:dyDescent="0.2">
      <c r="A338" s="246"/>
      <c r="B338" s="233"/>
      <c r="C338" s="242"/>
      <c r="D338" s="50"/>
      <c r="E338" s="248"/>
      <c r="H338" s="50"/>
      <c r="I338" s="50"/>
    </row>
    <row r="339" spans="1:9" s="249" customFormat="1" x14ac:dyDescent="0.2">
      <c r="A339" s="246"/>
      <c r="B339" s="233"/>
      <c r="C339" s="242"/>
      <c r="D339" s="50"/>
      <c r="E339" s="248"/>
      <c r="H339" s="50"/>
      <c r="I339" s="50"/>
    </row>
    <row r="340" spans="1:9" s="249" customFormat="1" x14ac:dyDescent="0.2">
      <c r="A340" s="246"/>
      <c r="B340" s="233"/>
      <c r="C340" s="242"/>
      <c r="D340" s="50"/>
      <c r="E340" s="248"/>
      <c r="H340" s="50"/>
      <c r="I340" s="50"/>
    </row>
    <row r="341" spans="1:9" s="249" customFormat="1" x14ac:dyDescent="0.2">
      <c r="A341" s="246"/>
      <c r="B341" s="233"/>
      <c r="C341" s="242"/>
      <c r="D341" s="50"/>
      <c r="E341" s="248"/>
      <c r="H341" s="50"/>
      <c r="I341" s="50"/>
    </row>
    <row r="342" spans="1:9" s="249" customFormat="1" x14ac:dyDescent="0.2">
      <c r="A342" s="246"/>
      <c r="B342" s="233"/>
      <c r="C342" s="242"/>
      <c r="D342" s="50"/>
      <c r="E342" s="248"/>
      <c r="H342" s="50"/>
      <c r="I342" s="50"/>
    </row>
    <row r="343" spans="1:9" s="249" customFormat="1" x14ac:dyDescent="0.2">
      <c r="A343" s="246"/>
      <c r="B343" s="233"/>
      <c r="C343" s="242"/>
      <c r="D343" s="50"/>
      <c r="E343" s="248"/>
      <c r="H343" s="50"/>
      <c r="I343" s="50"/>
    </row>
    <row r="344" spans="1:9" s="249" customFormat="1" x14ac:dyDescent="0.2">
      <c r="A344" s="246"/>
      <c r="B344" s="233"/>
      <c r="C344" s="242"/>
      <c r="D344" s="50"/>
      <c r="E344" s="248"/>
      <c r="H344" s="50"/>
      <c r="I344" s="50"/>
    </row>
    <row r="345" spans="1:9" s="249" customFormat="1" x14ac:dyDescent="0.2">
      <c r="A345" s="246"/>
      <c r="B345" s="233"/>
      <c r="C345" s="242"/>
      <c r="D345" s="50"/>
      <c r="E345" s="248"/>
      <c r="H345" s="50"/>
      <c r="I345" s="50"/>
    </row>
    <row r="346" spans="1:9" s="249" customFormat="1" x14ac:dyDescent="0.2">
      <c r="A346" s="246"/>
      <c r="B346" s="233"/>
      <c r="C346" s="242"/>
      <c r="D346" s="50"/>
      <c r="E346" s="248"/>
      <c r="H346" s="50"/>
      <c r="I346" s="50"/>
    </row>
    <row r="347" spans="1:9" s="249" customFormat="1" x14ac:dyDescent="0.2">
      <c r="A347" s="246"/>
      <c r="B347" s="233"/>
      <c r="C347" s="242"/>
      <c r="D347" s="50"/>
      <c r="E347" s="248"/>
      <c r="H347" s="50"/>
      <c r="I347" s="50"/>
    </row>
    <row r="348" spans="1:9" s="249" customFormat="1" x14ac:dyDescent="0.2">
      <c r="A348" s="246"/>
      <c r="B348" s="233"/>
      <c r="C348" s="242"/>
      <c r="D348" s="50"/>
      <c r="E348" s="248"/>
      <c r="H348" s="50"/>
      <c r="I348" s="50"/>
    </row>
    <row r="349" spans="1:9" s="249" customFormat="1" x14ac:dyDescent="0.2">
      <c r="A349" s="246"/>
      <c r="B349" s="233"/>
      <c r="C349" s="242"/>
      <c r="D349" s="50"/>
      <c r="E349" s="248"/>
      <c r="H349" s="50"/>
      <c r="I349" s="50"/>
    </row>
    <row r="350" spans="1:9" s="249" customFormat="1" x14ac:dyDescent="0.2">
      <c r="A350" s="246"/>
      <c r="B350" s="233"/>
      <c r="C350" s="242"/>
      <c r="D350" s="50"/>
      <c r="E350" s="248"/>
      <c r="H350" s="50"/>
      <c r="I350" s="50"/>
    </row>
    <row r="351" spans="1:9" s="249" customFormat="1" x14ac:dyDescent="0.2">
      <c r="A351" s="246"/>
      <c r="B351" s="233"/>
      <c r="C351" s="242"/>
      <c r="D351" s="50"/>
      <c r="E351" s="248"/>
      <c r="H351" s="50"/>
      <c r="I351" s="50"/>
    </row>
    <row r="352" spans="1:9" s="249" customFormat="1" x14ac:dyDescent="0.2">
      <c r="A352" s="246"/>
      <c r="B352" s="233"/>
      <c r="C352" s="242"/>
      <c r="D352" s="50"/>
      <c r="E352" s="248"/>
      <c r="H352" s="50"/>
      <c r="I352" s="50"/>
    </row>
    <row r="353" spans="1:9" s="249" customFormat="1" x14ac:dyDescent="0.2">
      <c r="A353" s="246"/>
      <c r="B353" s="233"/>
      <c r="C353" s="242"/>
      <c r="D353" s="50"/>
      <c r="E353" s="248"/>
      <c r="H353" s="50"/>
      <c r="I353" s="50"/>
    </row>
    <row r="354" spans="1:9" s="249" customFormat="1" x14ac:dyDescent="0.2">
      <c r="A354" s="246"/>
      <c r="B354" s="233"/>
      <c r="C354" s="242"/>
      <c r="D354" s="50"/>
      <c r="E354" s="248"/>
      <c r="H354" s="50"/>
      <c r="I354" s="50"/>
    </row>
    <row r="355" spans="1:9" s="249" customFormat="1" x14ac:dyDescent="0.2">
      <c r="A355" s="246"/>
      <c r="B355" s="233"/>
      <c r="C355" s="242"/>
      <c r="D355" s="50"/>
      <c r="E355" s="248"/>
      <c r="H355" s="50"/>
      <c r="I355" s="50"/>
    </row>
    <row r="356" spans="1:9" s="249" customFormat="1" x14ac:dyDescent="0.2">
      <c r="A356" s="246"/>
      <c r="B356" s="233"/>
      <c r="C356" s="242"/>
      <c r="D356" s="50"/>
      <c r="E356" s="248"/>
      <c r="H356" s="50"/>
      <c r="I356" s="50"/>
    </row>
    <row r="357" spans="1:9" s="249" customFormat="1" x14ac:dyDescent="0.2">
      <c r="A357" s="246"/>
      <c r="B357" s="233"/>
      <c r="C357" s="242"/>
      <c r="D357" s="50"/>
      <c r="E357" s="248"/>
      <c r="H357" s="50"/>
      <c r="I357" s="50"/>
    </row>
    <row r="358" spans="1:9" s="249" customFormat="1" x14ac:dyDescent="0.2">
      <c r="A358" s="246"/>
      <c r="B358" s="233"/>
      <c r="C358" s="242"/>
      <c r="D358" s="50"/>
      <c r="E358" s="248"/>
      <c r="H358" s="50"/>
      <c r="I358" s="50"/>
    </row>
    <row r="359" spans="1:9" s="249" customFormat="1" x14ac:dyDescent="0.2">
      <c r="A359" s="246"/>
      <c r="B359" s="233"/>
      <c r="C359" s="242"/>
      <c r="D359" s="50"/>
      <c r="E359" s="248"/>
      <c r="H359" s="50"/>
      <c r="I359" s="50"/>
    </row>
    <row r="360" spans="1:9" s="249" customFormat="1" x14ac:dyDescent="0.2">
      <c r="A360" s="246"/>
      <c r="B360" s="233"/>
      <c r="C360" s="242"/>
      <c r="D360" s="50"/>
      <c r="E360" s="248"/>
      <c r="H360" s="50"/>
      <c r="I360" s="50"/>
    </row>
    <row r="361" spans="1:9" s="249" customFormat="1" x14ac:dyDescent="0.2">
      <c r="A361" s="246"/>
      <c r="B361" s="233"/>
      <c r="C361" s="242"/>
      <c r="D361" s="50"/>
      <c r="E361" s="248"/>
      <c r="H361" s="50"/>
      <c r="I361" s="50"/>
    </row>
    <row r="362" spans="1:9" s="249" customFormat="1" x14ac:dyDescent="0.2">
      <c r="A362" s="246"/>
      <c r="B362" s="233"/>
      <c r="C362" s="242"/>
      <c r="D362" s="50"/>
      <c r="E362" s="248"/>
      <c r="H362" s="50"/>
      <c r="I362" s="50"/>
    </row>
    <row r="363" spans="1:9" s="249" customFormat="1" x14ac:dyDescent="0.2">
      <c r="A363" s="246"/>
      <c r="B363" s="233"/>
      <c r="C363" s="242"/>
      <c r="D363" s="50"/>
      <c r="E363" s="248"/>
      <c r="H363" s="50"/>
      <c r="I363" s="50"/>
    </row>
    <row r="364" spans="1:9" s="249" customFormat="1" x14ac:dyDescent="0.2">
      <c r="A364" s="246"/>
      <c r="B364" s="233"/>
      <c r="C364" s="242"/>
      <c r="D364" s="50"/>
      <c r="E364" s="248"/>
      <c r="H364" s="50"/>
      <c r="I364" s="50"/>
    </row>
    <row r="365" spans="1:9" s="249" customFormat="1" x14ac:dyDescent="0.2">
      <c r="A365" s="246"/>
      <c r="B365" s="233"/>
      <c r="C365" s="242"/>
      <c r="D365" s="50"/>
      <c r="E365" s="248"/>
      <c r="H365" s="50"/>
      <c r="I365" s="50"/>
    </row>
    <row r="366" spans="1:9" s="249" customFormat="1" x14ac:dyDescent="0.2">
      <c r="A366" s="246"/>
      <c r="B366" s="233"/>
      <c r="C366" s="242"/>
      <c r="D366" s="50"/>
      <c r="E366" s="248"/>
      <c r="H366" s="50"/>
      <c r="I366" s="50"/>
    </row>
    <row r="367" spans="1:9" s="249" customFormat="1" x14ac:dyDescent="0.2">
      <c r="A367" s="246"/>
      <c r="B367" s="233"/>
      <c r="C367" s="242"/>
      <c r="D367" s="50"/>
      <c r="E367" s="248"/>
      <c r="H367" s="50"/>
      <c r="I367" s="50"/>
    </row>
    <row r="368" spans="1:9" s="249" customFormat="1" x14ac:dyDescent="0.2">
      <c r="A368" s="246"/>
      <c r="B368" s="233"/>
      <c r="C368" s="242"/>
      <c r="D368" s="50"/>
      <c r="E368" s="248"/>
      <c r="H368" s="50"/>
      <c r="I368" s="50"/>
    </row>
    <row r="369" spans="1:9" s="249" customFormat="1" x14ac:dyDescent="0.2">
      <c r="A369" s="246"/>
      <c r="B369" s="233"/>
      <c r="C369" s="242"/>
      <c r="D369" s="50"/>
      <c r="E369" s="248"/>
      <c r="H369" s="50"/>
      <c r="I369" s="50"/>
    </row>
    <row r="370" spans="1:9" s="249" customFormat="1" x14ac:dyDescent="0.2">
      <c r="A370" s="246"/>
      <c r="B370" s="233"/>
      <c r="C370" s="242"/>
      <c r="D370" s="50"/>
      <c r="E370" s="248"/>
      <c r="H370" s="50"/>
      <c r="I370" s="50"/>
    </row>
    <row r="371" spans="1:9" s="249" customFormat="1" x14ac:dyDescent="0.2">
      <c r="A371" s="246"/>
      <c r="B371" s="233"/>
      <c r="C371" s="242"/>
      <c r="D371" s="50"/>
      <c r="E371" s="248"/>
      <c r="H371" s="50"/>
      <c r="I371" s="50"/>
    </row>
    <row r="372" spans="1:9" s="249" customFormat="1" x14ac:dyDescent="0.2">
      <c r="A372" s="246"/>
      <c r="B372" s="233"/>
      <c r="C372" s="242"/>
      <c r="D372" s="50"/>
      <c r="E372" s="248"/>
      <c r="H372" s="50"/>
      <c r="I372" s="50"/>
    </row>
    <row r="373" spans="1:9" s="249" customFormat="1" x14ac:dyDescent="0.2">
      <c r="A373" s="246"/>
      <c r="B373" s="233"/>
      <c r="C373" s="242"/>
      <c r="D373" s="50"/>
      <c r="E373" s="248"/>
      <c r="H373" s="50"/>
      <c r="I373" s="50"/>
    </row>
    <row r="374" spans="1:9" s="249" customFormat="1" x14ac:dyDescent="0.2">
      <c r="A374" s="246"/>
      <c r="B374" s="233"/>
      <c r="C374" s="242"/>
      <c r="D374" s="50"/>
      <c r="E374" s="248"/>
      <c r="H374" s="50"/>
      <c r="I374" s="50"/>
    </row>
    <row r="375" spans="1:9" s="249" customFormat="1" x14ac:dyDescent="0.2">
      <c r="A375" s="246"/>
      <c r="B375" s="233"/>
      <c r="C375" s="242"/>
      <c r="D375" s="50"/>
      <c r="E375" s="248"/>
      <c r="H375" s="50"/>
      <c r="I375" s="50"/>
    </row>
    <row r="376" spans="1:9" s="249" customFormat="1" x14ac:dyDescent="0.2">
      <c r="A376" s="246"/>
      <c r="B376" s="233"/>
      <c r="C376" s="242"/>
      <c r="D376" s="50"/>
      <c r="E376" s="248"/>
      <c r="H376" s="50"/>
      <c r="I376" s="50"/>
    </row>
    <row r="377" spans="1:9" s="249" customFormat="1" x14ac:dyDescent="0.2">
      <c r="A377" s="246"/>
      <c r="B377" s="233"/>
      <c r="C377" s="242"/>
      <c r="D377" s="50"/>
      <c r="E377" s="248"/>
      <c r="H377" s="50"/>
      <c r="I377" s="50"/>
    </row>
    <row r="378" spans="1:9" s="249" customFormat="1" x14ac:dyDescent="0.2">
      <c r="A378" s="246"/>
      <c r="B378" s="233"/>
      <c r="C378" s="242"/>
      <c r="D378" s="50"/>
      <c r="E378" s="248"/>
      <c r="H378" s="50"/>
      <c r="I378" s="50"/>
    </row>
    <row r="379" spans="1:9" s="249" customFormat="1" x14ac:dyDescent="0.2">
      <c r="A379" s="246"/>
      <c r="B379" s="233"/>
      <c r="C379" s="242"/>
      <c r="D379" s="50"/>
      <c r="E379" s="248"/>
      <c r="H379" s="50"/>
      <c r="I379" s="50"/>
    </row>
    <row r="380" spans="1:9" s="249" customFormat="1" x14ac:dyDescent="0.2">
      <c r="A380" s="246"/>
      <c r="B380" s="233"/>
      <c r="C380" s="242"/>
      <c r="D380" s="50"/>
      <c r="E380" s="248"/>
      <c r="H380" s="50"/>
      <c r="I380" s="50"/>
    </row>
    <row r="381" spans="1:9" s="249" customFormat="1" x14ac:dyDescent="0.2">
      <c r="A381" s="246"/>
      <c r="B381" s="233"/>
      <c r="C381" s="242"/>
      <c r="D381" s="50"/>
      <c r="E381" s="248"/>
      <c r="H381" s="50"/>
      <c r="I381" s="50"/>
    </row>
    <row r="382" spans="1:9" s="249" customFormat="1" x14ac:dyDescent="0.2">
      <c r="A382" s="246"/>
      <c r="B382" s="233"/>
      <c r="C382" s="242"/>
      <c r="D382" s="50"/>
      <c r="E382" s="248"/>
      <c r="H382" s="50"/>
      <c r="I382" s="50"/>
    </row>
    <row r="383" spans="1:9" s="249" customFormat="1" x14ac:dyDescent="0.2">
      <c r="A383" s="246"/>
      <c r="B383" s="233"/>
      <c r="C383" s="242"/>
      <c r="D383" s="50"/>
      <c r="E383" s="248"/>
      <c r="H383" s="50"/>
      <c r="I383" s="50"/>
    </row>
    <row r="384" spans="1:9" s="249" customFormat="1" x14ac:dyDescent="0.2">
      <c r="A384" s="246"/>
      <c r="B384" s="233"/>
      <c r="C384" s="242"/>
      <c r="D384" s="50"/>
      <c r="E384" s="248"/>
      <c r="H384" s="50"/>
      <c r="I384" s="50"/>
    </row>
    <row r="385" spans="1:9" s="249" customFormat="1" x14ac:dyDescent="0.2">
      <c r="A385" s="246"/>
      <c r="B385" s="233"/>
      <c r="C385" s="242"/>
      <c r="D385" s="50"/>
      <c r="E385" s="248"/>
      <c r="H385" s="50"/>
      <c r="I385" s="50"/>
    </row>
    <row r="386" spans="1:9" s="249" customFormat="1" x14ac:dyDescent="0.2">
      <c r="A386" s="246"/>
      <c r="B386" s="233"/>
      <c r="C386" s="242"/>
      <c r="D386" s="50"/>
      <c r="E386" s="248"/>
      <c r="H386" s="50"/>
      <c r="I386" s="50"/>
    </row>
    <row r="387" spans="1:9" s="249" customFormat="1" x14ac:dyDescent="0.2">
      <c r="A387" s="246"/>
      <c r="B387" s="233"/>
      <c r="C387" s="242"/>
      <c r="D387" s="50"/>
      <c r="E387" s="248"/>
      <c r="H387" s="50"/>
      <c r="I387" s="50"/>
    </row>
    <row r="388" spans="1:9" s="249" customFormat="1" x14ac:dyDescent="0.2">
      <c r="A388" s="246"/>
      <c r="B388" s="233"/>
      <c r="C388" s="242"/>
      <c r="D388" s="50"/>
      <c r="E388" s="248"/>
      <c r="H388" s="50"/>
      <c r="I388" s="50"/>
    </row>
    <row r="389" spans="1:9" s="249" customFormat="1" x14ac:dyDescent="0.2">
      <c r="A389" s="246"/>
      <c r="B389" s="233"/>
      <c r="C389" s="242"/>
      <c r="D389" s="50"/>
      <c r="E389" s="248"/>
      <c r="H389" s="50"/>
      <c r="I389" s="50"/>
    </row>
    <row r="390" spans="1:9" s="249" customFormat="1" x14ac:dyDescent="0.2">
      <c r="A390" s="246"/>
      <c r="B390" s="233"/>
      <c r="C390" s="242"/>
      <c r="D390" s="50"/>
      <c r="E390" s="248"/>
      <c r="H390" s="50"/>
      <c r="I390" s="50"/>
    </row>
    <row r="391" spans="1:9" s="249" customFormat="1" x14ac:dyDescent="0.2">
      <c r="A391" s="246"/>
      <c r="B391" s="233"/>
      <c r="C391" s="242"/>
      <c r="D391" s="50"/>
      <c r="E391" s="248"/>
      <c r="H391" s="50"/>
      <c r="I391" s="50"/>
    </row>
    <row r="392" spans="1:9" s="249" customFormat="1" x14ac:dyDescent="0.2">
      <c r="A392" s="246"/>
      <c r="B392" s="233"/>
      <c r="C392" s="242"/>
      <c r="D392" s="50"/>
      <c r="E392" s="248"/>
      <c r="H392" s="50"/>
      <c r="I392" s="50"/>
    </row>
    <row r="393" spans="1:9" s="249" customFormat="1" x14ac:dyDescent="0.2">
      <c r="A393" s="246"/>
      <c r="B393" s="233"/>
      <c r="C393" s="242"/>
      <c r="D393" s="50"/>
      <c r="E393" s="248"/>
      <c r="H393" s="50"/>
      <c r="I393" s="50"/>
    </row>
    <row r="394" spans="1:9" s="249" customFormat="1" x14ac:dyDescent="0.2">
      <c r="A394" s="246"/>
      <c r="B394" s="233"/>
      <c r="C394" s="242"/>
      <c r="D394" s="50"/>
      <c r="E394" s="248"/>
      <c r="H394" s="50"/>
      <c r="I394" s="50"/>
    </row>
    <row r="395" spans="1:9" s="249" customFormat="1" x14ac:dyDescent="0.2">
      <c r="A395" s="246"/>
      <c r="B395" s="233"/>
      <c r="C395" s="242"/>
      <c r="D395" s="50"/>
      <c r="E395" s="248"/>
      <c r="H395" s="50"/>
      <c r="I395" s="50"/>
    </row>
    <row r="396" spans="1:9" s="249" customFormat="1" x14ac:dyDescent="0.2">
      <c r="A396" s="246"/>
      <c r="B396" s="233"/>
      <c r="C396" s="242"/>
      <c r="D396" s="50"/>
      <c r="E396" s="248"/>
      <c r="H396" s="50"/>
      <c r="I396" s="50"/>
    </row>
    <row r="397" spans="1:9" s="249" customFormat="1" x14ac:dyDescent="0.2">
      <c r="A397" s="246"/>
      <c r="B397" s="233"/>
      <c r="C397" s="242"/>
      <c r="D397" s="50"/>
      <c r="E397" s="248"/>
      <c r="H397" s="50"/>
      <c r="I397" s="50"/>
    </row>
    <row r="398" spans="1:9" s="249" customFormat="1" x14ac:dyDescent="0.2">
      <c r="A398" s="246"/>
      <c r="B398" s="233"/>
      <c r="C398" s="242"/>
      <c r="D398" s="50"/>
      <c r="E398" s="248"/>
      <c r="H398" s="50"/>
      <c r="I398" s="50"/>
    </row>
    <row r="399" spans="1:9" s="249" customFormat="1" x14ac:dyDescent="0.2">
      <c r="A399" s="246"/>
      <c r="B399" s="233"/>
      <c r="C399" s="242"/>
      <c r="D399" s="50"/>
      <c r="E399" s="248"/>
      <c r="H399" s="50"/>
      <c r="I399" s="50"/>
    </row>
    <row r="400" spans="1:9" s="249" customFormat="1" x14ac:dyDescent="0.2">
      <c r="A400" s="246"/>
      <c r="B400" s="233"/>
      <c r="C400" s="242"/>
      <c r="D400" s="50"/>
      <c r="E400" s="248"/>
      <c r="H400" s="50"/>
      <c r="I400" s="50"/>
    </row>
    <row r="401" spans="1:9" s="249" customFormat="1" x14ac:dyDescent="0.2">
      <c r="A401" s="246"/>
      <c r="B401" s="233"/>
      <c r="C401" s="242"/>
      <c r="D401" s="50"/>
      <c r="E401" s="248"/>
      <c r="H401" s="50"/>
      <c r="I401" s="50"/>
    </row>
    <row r="402" spans="1:9" s="249" customFormat="1" x14ac:dyDescent="0.2">
      <c r="A402" s="246"/>
      <c r="B402" s="233"/>
      <c r="C402" s="242"/>
      <c r="D402" s="50"/>
      <c r="E402" s="248"/>
      <c r="H402" s="50"/>
      <c r="I402" s="50"/>
    </row>
    <row r="403" spans="1:9" s="249" customFormat="1" x14ac:dyDescent="0.2">
      <c r="A403" s="246"/>
      <c r="B403" s="233"/>
      <c r="C403" s="242"/>
      <c r="D403" s="50"/>
      <c r="E403" s="248"/>
      <c r="H403" s="50"/>
      <c r="I403" s="50"/>
    </row>
    <row r="404" spans="1:9" s="249" customFormat="1" x14ac:dyDescent="0.2">
      <c r="A404" s="246"/>
      <c r="B404" s="233"/>
      <c r="C404" s="242"/>
      <c r="D404" s="50"/>
      <c r="E404" s="248"/>
      <c r="H404" s="50"/>
      <c r="I404" s="50"/>
    </row>
    <row r="405" spans="1:9" s="249" customFormat="1" x14ac:dyDescent="0.2">
      <c r="A405" s="246"/>
      <c r="B405" s="233"/>
      <c r="C405" s="242"/>
      <c r="D405" s="50"/>
      <c r="E405" s="248"/>
      <c r="H405" s="50"/>
      <c r="I405" s="50"/>
    </row>
    <row r="406" spans="1:9" s="249" customFormat="1" x14ac:dyDescent="0.2">
      <c r="A406" s="246"/>
      <c r="B406" s="233"/>
      <c r="C406" s="242"/>
      <c r="D406" s="50"/>
      <c r="E406" s="248"/>
      <c r="H406" s="50"/>
      <c r="I406" s="50"/>
    </row>
    <row r="407" spans="1:9" s="249" customFormat="1" x14ac:dyDescent="0.2">
      <c r="A407" s="246"/>
      <c r="B407" s="233"/>
      <c r="C407" s="242"/>
      <c r="D407" s="50"/>
      <c r="E407" s="248"/>
      <c r="H407" s="50"/>
      <c r="I407" s="50"/>
    </row>
    <row r="408" spans="1:9" s="249" customFormat="1" x14ac:dyDescent="0.2">
      <c r="A408" s="246"/>
      <c r="B408" s="233"/>
      <c r="C408" s="242"/>
      <c r="D408" s="50"/>
      <c r="E408" s="248"/>
      <c r="H408" s="50"/>
      <c r="I408" s="50"/>
    </row>
    <row r="409" spans="1:9" s="249" customFormat="1" x14ac:dyDescent="0.2">
      <c r="A409" s="246"/>
      <c r="B409" s="233"/>
      <c r="C409" s="242"/>
      <c r="D409" s="50"/>
      <c r="E409" s="248"/>
      <c r="H409" s="50"/>
      <c r="I409" s="50"/>
    </row>
    <row r="410" spans="1:9" s="249" customFormat="1" x14ac:dyDescent="0.2">
      <c r="A410" s="246"/>
      <c r="B410" s="233"/>
      <c r="C410" s="242"/>
      <c r="D410" s="50"/>
      <c r="E410" s="248"/>
      <c r="H410" s="50"/>
      <c r="I410" s="50"/>
    </row>
    <row r="411" spans="1:9" s="249" customFormat="1" x14ac:dyDescent="0.2">
      <c r="A411" s="246"/>
      <c r="B411" s="233"/>
      <c r="C411" s="242"/>
      <c r="D411" s="50"/>
      <c r="E411" s="248"/>
      <c r="H411" s="50"/>
      <c r="I411" s="50"/>
    </row>
    <row r="412" spans="1:9" s="249" customFormat="1" x14ac:dyDescent="0.2">
      <c r="A412" s="246"/>
      <c r="B412" s="233"/>
      <c r="C412" s="242"/>
      <c r="D412" s="50"/>
      <c r="E412" s="248"/>
      <c r="H412" s="50"/>
      <c r="I412" s="50"/>
    </row>
    <row r="413" spans="1:9" s="249" customFormat="1" x14ac:dyDescent="0.2">
      <c r="A413" s="246"/>
      <c r="B413" s="233"/>
      <c r="C413" s="242"/>
      <c r="D413" s="50"/>
      <c r="E413" s="248"/>
      <c r="H413" s="50"/>
      <c r="I413" s="50"/>
    </row>
    <row r="414" spans="1:9" s="249" customFormat="1" x14ac:dyDescent="0.2">
      <c r="A414" s="246"/>
      <c r="B414" s="233"/>
      <c r="C414" s="242"/>
      <c r="D414" s="50"/>
      <c r="E414" s="248"/>
      <c r="H414" s="50"/>
      <c r="I414" s="50"/>
    </row>
    <row r="415" spans="1:9" s="249" customFormat="1" x14ac:dyDescent="0.2">
      <c r="A415" s="246"/>
      <c r="B415" s="233"/>
      <c r="C415" s="242"/>
      <c r="D415" s="50"/>
      <c r="E415" s="248"/>
      <c r="H415" s="50"/>
      <c r="I415" s="50"/>
    </row>
    <row r="416" spans="1:9" s="249" customFormat="1" x14ac:dyDescent="0.2">
      <c r="A416" s="246"/>
      <c r="B416" s="233"/>
      <c r="C416" s="242"/>
      <c r="D416" s="50"/>
      <c r="E416" s="248"/>
      <c r="H416" s="50"/>
      <c r="I416" s="50"/>
    </row>
    <row r="417" spans="1:9" s="249" customFormat="1" x14ac:dyDescent="0.2">
      <c r="A417" s="246"/>
      <c r="B417" s="233"/>
      <c r="C417" s="242"/>
      <c r="D417" s="50"/>
      <c r="E417" s="248"/>
      <c r="H417" s="50"/>
      <c r="I417" s="50"/>
    </row>
    <row r="418" spans="1:9" s="249" customFormat="1" x14ac:dyDescent="0.2">
      <c r="A418" s="246"/>
      <c r="B418" s="233"/>
      <c r="C418" s="242"/>
      <c r="D418" s="50"/>
      <c r="E418" s="248"/>
      <c r="H418" s="50"/>
      <c r="I418" s="50"/>
    </row>
    <row r="419" spans="1:9" s="249" customFormat="1" x14ac:dyDescent="0.2">
      <c r="A419" s="246"/>
      <c r="B419" s="233"/>
      <c r="C419" s="242"/>
      <c r="D419" s="50"/>
      <c r="E419" s="248"/>
      <c r="H419" s="50"/>
      <c r="I419" s="50"/>
    </row>
    <row r="420" spans="1:9" s="249" customFormat="1" x14ac:dyDescent="0.2">
      <c r="A420" s="246"/>
      <c r="B420" s="233"/>
      <c r="C420" s="242"/>
      <c r="D420" s="50"/>
      <c r="E420" s="248"/>
      <c r="H420" s="50"/>
      <c r="I420" s="50"/>
    </row>
    <row r="421" spans="1:9" s="249" customFormat="1" x14ac:dyDescent="0.2">
      <c r="A421" s="246"/>
      <c r="B421" s="233"/>
      <c r="C421" s="242"/>
      <c r="D421" s="50"/>
      <c r="E421" s="248"/>
      <c r="H421" s="50"/>
      <c r="I421" s="50"/>
    </row>
    <row r="422" spans="1:9" s="249" customFormat="1" x14ac:dyDescent="0.2">
      <c r="A422" s="246"/>
      <c r="B422" s="233"/>
      <c r="C422" s="242"/>
      <c r="D422" s="50"/>
      <c r="E422" s="248"/>
      <c r="H422" s="50"/>
      <c r="I422" s="50"/>
    </row>
    <row r="423" spans="1:9" s="249" customFormat="1" x14ac:dyDescent="0.2">
      <c r="A423" s="246"/>
      <c r="B423" s="233"/>
      <c r="C423" s="242"/>
      <c r="D423" s="50"/>
      <c r="E423" s="248"/>
      <c r="H423" s="50"/>
      <c r="I423" s="50"/>
    </row>
    <row r="424" spans="1:9" s="249" customFormat="1" x14ac:dyDescent="0.2">
      <c r="A424" s="246"/>
      <c r="B424" s="233"/>
      <c r="C424" s="242"/>
      <c r="D424" s="50"/>
      <c r="E424" s="248"/>
      <c r="H424" s="50"/>
      <c r="I424" s="50"/>
    </row>
    <row r="425" spans="1:9" s="249" customFormat="1" x14ac:dyDescent="0.2">
      <c r="A425" s="246"/>
      <c r="B425" s="233"/>
      <c r="C425" s="242"/>
      <c r="D425" s="50"/>
      <c r="E425" s="248"/>
      <c r="H425" s="50"/>
      <c r="I425" s="50"/>
    </row>
    <row r="426" spans="1:9" s="249" customFormat="1" x14ac:dyDescent="0.2">
      <c r="A426" s="246"/>
      <c r="B426" s="233"/>
      <c r="C426" s="242"/>
      <c r="D426" s="50"/>
      <c r="E426" s="248"/>
      <c r="H426" s="50"/>
      <c r="I426" s="50"/>
    </row>
    <row r="427" spans="1:9" s="249" customFormat="1" x14ac:dyDescent="0.2">
      <c r="A427" s="246"/>
      <c r="B427" s="233"/>
      <c r="C427" s="242"/>
      <c r="D427" s="50"/>
      <c r="E427" s="248"/>
      <c r="H427" s="50"/>
      <c r="I427" s="50"/>
    </row>
    <row r="428" spans="1:9" s="249" customFormat="1" x14ac:dyDescent="0.2">
      <c r="A428" s="246"/>
      <c r="B428" s="233"/>
      <c r="C428" s="242"/>
      <c r="D428" s="50"/>
      <c r="E428" s="248"/>
      <c r="H428" s="50"/>
      <c r="I428" s="50"/>
    </row>
    <row r="429" spans="1:9" s="249" customFormat="1" x14ac:dyDescent="0.2">
      <c r="A429" s="246"/>
      <c r="B429" s="233"/>
      <c r="C429" s="242"/>
      <c r="D429" s="50"/>
      <c r="E429" s="248"/>
      <c r="H429" s="50"/>
      <c r="I429" s="50"/>
    </row>
    <row r="430" spans="1:9" s="249" customFormat="1" x14ac:dyDescent="0.2">
      <c r="A430" s="246"/>
      <c r="B430" s="233"/>
      <c r="C430" s="242"/>
      <c r="D430" s="50"/>
      <c r="E430" s="248"/>
      <c r="H430" s="50"/>
      <c r="I430" s="50"/>
    </row>
    <row r="431" spans="1:9" s="249" customFormat="1" x14ac:dyDescent="0.2">
      <c r="A431" s="246"/>
      <c r="B431" s="233"/>
      <c r="C431" s="242"/>
      <c r="D431" s="50"/>
      <c r="E431" s="248"/>
      <c r="H431" s="50"/>
      <c r="I431" s="50"/>
    </row>
    <row r="432" spans="1:9" s="249" customFormat="1" x14ac:dyDescent="0.2">
      <c r="A432" s="246"/>
      <c r="B432" s="233"/>
      <c r="C432" s="242"/>
      <c r="D432" s="50"/>
      <c r="E432" s="248"/>
      <c r="H432" s="50"/>
      <c r="I432" s="50"/>
    </row>
    <row r="433" spans="1:9" s="249" customFormat="1" x14ac:dyDescent="0.2">
      <c r="A433" s="246"/>
      <c r="B433" s="233"/>
      <c r="C433" s="242"/>
      <c r="D433" s="50"/>
      <c r="E433" s="248"/>
      <c r="H433" s="50"/>
      <c r="I433" s="50"/>
    </row>
    <row r="434" spans="1:9" s="249" customFormat="1" x14ac:dyDescent="0.2">
      <c r="A434" s="246"/>
      <c r="B434" s="233"/>
      <c r="C434" s="242"/>
      <c r="D434" s="50"/>
      <c r="E434" s="248"/>
      <c r="H434" s="50"/>
      <c r="I434" s="50"/>
    </row>
    <row r="435" spans="1:9" s="249" customFormat="1" x14ac:dyDescent="0.2">
      <c r="A435" s="246"/>
      <c r="B435" s="233"/>
      <c r="C435" s="242"/>
      <c r="D435" s="50"/>
      <c r="E435" s="248"/>
      <c r="H435" s="50"/>
      <c r="I435" s="50"/>
    </row>
    <row r="436" spans="1:9" s="249" customFormat="1" x14ac:dyDescent="0.2">
      <c r="A436" s="246"/>
      <c r="B436" s="233"/>
      <c r="C436" s="242"/>
      <c r="D436" s="50"/>
      <c r="E436" s="248"/>
      <c r="H436" s="50"/>
      <c r="I436" s="50"/>
    </row>
    <row r="437" spans="1:9" s="249" customFormat="1" x14ac:dyDescent="0.2">
      <c r="A437" s="246"/>
      <c r="B437" s="233"/>
      <c r="C437" s="242"/>
      <c r="D437" s="50"/>
      <c r="E437" s="248"/>
      <c r="H437" s="50"/>
      <c r="I437" s="50"/>
    </row>
    <row r="438" spans="1:9" s="249" customFormat="1" x14ac:dyDescent="0.2">
      <c r="A438" s="246"/>
      <c r="B438" s="233"/>
      <c r="C438" s="242"/>
      <c r="D438" s="50"/>
      <c r="E438" s="248"/>
      <c r="H438" s="50"/>
      <c r="I438" s="50"/>
    </row>
    <row r="439" spans="1:9" s="249" customFormat="1" x14ac:dyDescent="0.2">
      <c r="A439" s="246"/>
      <c r="B439" s="233"/>
      <c r="C439" s="242"/>
      <c r="D439" s="50"/>
      <c r="E439" s="248"/>
      <c r="H439" s="50"/>
      <c r="I439" s="50"/>
    </row>
    <row r="440" spans="1:9" s="249" customFormat="1" x14ac:dyDescent="0.2">
      <c r="A440" s="246"/>
      <c r="B440" s="233"/>
      <c r="C440" s="242"/>
      <c r="D440" s="50"/>
      <c r="E440" s="248"/>
      <c r="H440" s="50"/>
      <c r="I440" s="50"/>
    </row>
    <row r="441" spans="1:9" s="249" customFormat="1" x14ac:dyDescent="0.2">
      <c r="A441" s="246"/>
      <c r="B441" s="233"/>
      <c r="C441" s="242"/>
      <c r="D441" s="50"/>
      <c r="E441" s="248"/>
      <c r="H441" s="50"/>
      <c r="I441" s="50"/>
    </row>
    <row r="442" spans="1:9" s="249" customFormat="1" x14ac:dyDescent="0.2">
      <c r="A442" s="246"/>
      <c r="B442" s="233"/>
      <c r="C442" s="242"/>
      <c r="D442" s="50"/>
      <c r="E442" s="248"/>
      <c r="H442" s="50"/>
      <c r="I442" s="50"/>
    </row>
    <row r="443" spans="1:9" s="249" customFormat="1" x14ac:dyDescent="0.2">
      <c r="A443" s="246"/>
      <c r="B443" s="233"/>
      <c r="C443" s="242"/>
      <c r="D443" s="50"/>
      <c r="E443" s="248"/>
      <c r="H443" s="50"/>
      <c r="I443" s="50"/>
    </row>
    <row r="444" spans="1:9" s="249" customFormat="1" x14ac:dyDescent="0.2">
      <c r="A444" s="246"/>
      <c r="B444" s="233"/>
      <c r="C444" s="242"/>
      <c r="D444" s="50"/>
      <c r="E444" s="248"/>
      <c r="H444" s="50"/>
      <c r="I444" s="50"/>
    </row>
    <row r="445" spans="1:9" s="249" customFormat="1" x14ac:dyDescent="0.2">
      <c r="A445" s="246"/>
      <c r="B445" s="233"/>
      <c r="C445" s="242"/>
      <c r="D445" s="50"/>
      <c r="E445" s="248"/>
      <c r="H445" s="50"/>
      <c r="I445" s="50"/>
    </row>
    <row r="446" spans="1:9" s="249" customFormat="1" x14ac:dyDescent="0.2">
      <c r="A446" s="246"/>
      <c r="B446" s="233"/>
      <c r="C446" s="242"/>
      <c r="D446" s="50"/>
      <c r="E446" s="248"/>
      <c r="H446" s="50"/>
      <c r="I446" s="50"/>
    </row>
    <row r="447" spans="1:9" s="249" customFormat="1" x14ac:dyDescent="0.2">
      <c r="A447" s="246"/>
      <c r="B447" s="233"/>
      <c r="C447" s="242"/>
      <c r="D447" s="50"/>
      <c r="E447" s="248"/>
      <c r="H447" s="50"/>
      <c r="I447" s="50"/>
    </row>
    <row r="448" spans="1:9" s="249" customFormat="1" x14ac:dyDescent="0.2">
      <c r="A448" s="246"/>
      <c r="B448" s="233"/>
      <c r="C448" s="242"/>
      <c r="D448" s="50"/>
      <c r="E448" s="248"/>
      <c r="H448" s="50"/>
      <c r="I448" s="50"/>
    </row>
    <row r="449" spans="1:9" s="249" customFormat="1" x14ac:dyDescent="0.2">
      <c r="A449" s="246"/>
      <c r="B449" s="233"/>
      <c r="C449" s="242"/>
      <c r="D449" s="50"/>
      <c r="E449" s="248"/>
      <c r="H449" s="50"/>
      <c r="I449" s="50"/>
    </row>
    <row r="450" spans="1:9" s="249" customFormat="1" x14ac:dyDescent="0.2">
      <c r="A450" s="246"/>
      <c r="B450" s="233"/>
      <c r="C450" s="242"/>
      <c r="D450" s="50"/>
      <c r="E450" s="248"/>
      <c r="H450" s="50"/>
      <c r="I450" s="50"/>
    </row>
    <row r="451" spans="1:9" s="249" customFormat="1" x14ac:dyDescent="0.2">
      <c r="A451" s="246"/>
      <c r="B451" s="233"/>
      <c r="C451" s="242"/>
      <c r="D451" s="50"/>
      <c r="E451" s="248"/>
      <c r="H451" s="50"/>
      <c r="I451" s="50"/>
    </row>
    <row r="452" spans="1:9" s="249" customFormat="1" x14ac:dyDescent="0.2">
      <c r="A452" s="246"/>
      <c r="B452" s="233"/>
      <c r="C452" s="242"/>
      <c r="D452" s="50"/>
      <c r="E452" s="248"/>
      <c r="H452" s="50"/>
      <c r="I452" s="50"/>
    </row>
    <row r="453" spans="1:9" s="249" customFormat="1" x14ac:dyDescent="0.2">
      <c r="A453" s="246"/>
      <c r="B453" s="233"/>
      <c r="C453" s="242"/>
      <c r="D453" s="50"/>
      <c r="E453" s="248"/>
      <c r="H453" s="50"/>
      <c r="I453" s="50"/>
    </row>
    <row r="454" spans="1:9" s="249" customFormat="1" x14ac:dyDescent="0.2">
      <c r="A454" s="246"/>
      <c r="B454" s="233"/>
      <c r="C454" s="242"/>
      <c r="D454" s="50"/>
      <c r="E454" s="248"/>
      <c r="H454" s="50"/>
      <c r="I454" s="50"/>
    </row>
    <row r="455" spans="1:9" s="249" customFormat="1" x14ac:dyDescent="0.2">
      <c r="A455" s="246"/>
      <c r="B455" s="233"/>
      <c r="C455" s="242"/>
      <c r="D455" s="50"/>
      <c r="E455" s="248"/>
      <c r="H455" s="50"/>
      <c r="I455" s="50"/>
    </row>
    <row r="456" spans="1:9" s="249" customFormat="1" x14ac:dyDescent="0.2">
      <c r="A456" s="246"/>
      <c r="B456" s="233"/>
      <c r="C456" s="242"/>
      <c r="D456" s="50"/>
      <c r="E456" s="248"/>
      <c r="H456" s="50"/>
      <c r="I456" s="50"/>
    </row>
    <row r="457" spans="1:9" s="249" customFormat="1" x14ac:dyDescent="0.2">
      <c r="A457" s="246"/>
      <c r="B457" s="233"/>
      <c r="C457" s="242"/>
      <c r="D457" s="50"/>
      <c r="E457" s="248"/>
      <c r="H457" s="50"/>
      <c r="I457" s="50"/>
    </row>
    <row r="458" spans="1:9" s="249" customFormat="1" x14ac:dyDescent="0.2">
      <c r="A458" s="246"/>
      <c r="B458" s="233"/>
      <c r="C458" s="242"/>
      <c r="D458" s="50"/>
      <c r="E458" s="248"/>
      <c r="H458" s="50"/>
      <c r="I458" s="50"/>
    </row>
    <row r="459" spans="1:9" s="249" customFormat="1" x14ac:dyDescent="0.2">
      <c r="A459" s="246"/>
      <c r="B459" s="233"/>
      <c r="C459" s="242"/>
      <c r="D459" s="50"/>
      <c r="E459" s="248"/>
      <c r="H459" s="50"/>
      <c r="I459" s="50"/>
    </row>
    <row r="460" spans="1:9" s="249" customFormat="1" x14ac:dyDescent="0.2">
      <c r="A460" s="246"/>
      <c r="B460" s="233"/>
      <c r="C460" s="242"/>
      <c r="D460" s="50"/>
      <c r="E460" s="248"/>
      <c r="H460" s="50"/>
      <c r="I460" s="50"/>
    </row>
    <row r="461" spans="1:9" s="249" customFormat="1" x14ac:dyDescent="0.2">
      <c r="A461" s="246"/>
      <c r="B461" s="233"/>
      <c r="C461" s="242"/>
      <c r="D461" s="50"/>
      <c r="E461" s="248"/>
      <c r="H461" s="50"/>
      <c r="I461" s="50"/>
    </row>
    <row r="462" spans="1:9" s="249" customFormat="1" x14ac:dyDescent="0.2">
      <c r="A462" s="246"/>
      <c r="B462" s="233"/>
      <c r="C462" s="242"/>
      <c r="D462" s="50"/>
      <c r="E462" s="248"/>
      <c r="H462" s="50"/>
      <c r="I462" s="50"/>
    </row>
    <row r="463" spans="1:9" s="249" customFormat="1" x14ac:dyDescent="0.2">
      <c r="A463" s="246"/>
      <c r="B463" s="233"/>
      <c r="C463" s="242"/>
      <c r="D463" s="50"/>
      <c r="E463" s="248"/>
      <c r="H463" s="50"/>
      <c r="I463" s="50"/>
    </row>
    <row r="464" spans="1:9" s="249" customFormat="1" x14ac:dyDescent="0.2">
      <c r="A464" s="246"/>
      <c r="B464" s="233"/>
      <c r="C464" s="242"/>
      <c r="D464" s="50"/>
      <c r="E464" s="248"/>
      <c r="H464" s="50"/>
      <c r="I464" s="50"/>
    </row>
    <row r="465" spans="1:9" s="249" customFormat="1" x14ac:dyDescent="0.2">
      <c r="A465" s="246"/>
      <c r="B465" s="233"/>
      <c r="C465" s="242"/>
      <c r="D465" s="50"/>
      <c r="E465" s="248"/>
      <c r="H465" s="50"/>
      <c r="I465" s="50"/>
    </row>
    <row r="466" spans="1:9" s="249" customFormat="1" x14ac:dyDescent="0.2">
      <c r="A466" s="246"/>
      <c r="B466" s="233"/>
      <c r="C466" s="242"/>
      <c r="D466" s="50"/>
      <c r="E466" s="248"/>
      <c r="H466" s="50"/>
      <c r="I466" s="50"/>
    </row>
    <row r="467" spans="1:9" s="249" customFormat="1" x14ac:dyDescent="0.2">
      <c r="A467" s="246"/>
      <c r="B467" s="233"/>
      <c r="C467" s="242"/>
      <c r="D467" s="50"/>
      <c r="E467" s="248"/>
      <c r="H467" s="50"/>
      <c r="I467" s="50"/>
    </row>
    <row r="468" spans="1:9" s="249" customFormat="1" x14ac:dyDescent="0.2">
      <c r="A468" s="246"/>
      <c r="B468" s="233"/>
      <c r="C468" s="242"/>
      <c r="D468" s="50"/>
      <c r="E468" s="248"/>
      <c r="H468" s="50"/>
      <c r="I468" s="50"/>
    </row>
    <row r="469" spans="1:9" s="249" customFormat="1" x14ac:dyDescent="0.2">
      <c r="A469" s="246"/>
      <c r="B469" s="233"/>
      <c r="C469" s="242"/>
      <c r="D469" s="50"/>
      <c r="E469" s="248"/>
      <c r="H469" s="50"/>
      <c r="I469" s="50"/>
    </row>
    <row r="470" spans="1:9" s="249" customFormat="1" x14ac:dyDescent="0.2">
      <c r="A470" s="246"/>
      <c r="B470" s="233"/>
      <c r="C470" s="242"/>
      <c r="D470" s="50"/>
      <c r="E470" s="248"/>
      <c r="H470" s="50"/>
      <c r="I470" s="50"/>
    </row>
    <row r="471" spans="1:9" s="249" customFormat="1" x14ac:dyDescent="0.2">
      <c r="A471" s="246"/>
      <c r="B471" s="233"/>
      <c r="C471" s="242"/>
      <c r="D471" s="50"/>
      <c r="E471" s="248"/>
      <c r="H471" s="50"/>
      <c r="I471" s="50"/>
    </row>
    <row r="472" spans="1:9" s="249" customFormat="1" x14ac:dyDescent="0.2">
      <c r="A472" s="246"/>
      <c r="B472" s="233"/>
      <c r="C472" s="242"/>
      <c r="D472" s="50"/>
      <c r="E472" s="248"/>
      <c r="H472" s="50"/>
      <c r="I472" s="50"/>
    </row>
    <row r="473" spans="1:9" s="249" customFormat="1" x14ac:dyDescent="0.2">
      <c r="A473" s="246"/>
      <c r="B473" s="233"/>
      <c r="C473" s="242"/>
      <c r="D473" s="50"/>
      <c r="E473" s="248"/>
      <c r="H473" s="50"/>
      <c r="I473" s="50"/>
    </row>
    <row r="474" spans="1:9" s="249" customFormat="1" x14ac:dyDescent="0.2">
      <c r="A474" s="246"/>
      <c r="B474" s="233"/>
      <c r="C474" s="242"/>
      <c r="D474" s="50"/>
      <c r="E474" s="248"/>
      <c r="H474" s="50"/>
      <c r="I474" s="50"/>
    </row>
    <row r="475" spans="1:9" s="249" customFormat="1" x14ac:dyDescent="0.2">
      <c r="A475" s="246"/>
      <c r="B475" s="233"/>
      <c r="C475" s="242"/>
      <c r="D475" s="50"/>
      <c r="E475" s="248"/>
      <c r="H475" s="50"/>
      <c r="I475" s="50"/>
    </row>
    <row r="476" spans="1:9" s="249" customFormat="1" x14ac:dyDescent="0.2">
      <c r="A476" s="246"/>
      <c r="B476" s="233"/>
      <c r="C476" s="242"/>
      <c r="D476" s="50"/>
      <c r="E476" s="248"/>
      <c r="H476" s="50"/>
      <c r="I476" s="50"/>
    </row>
    <row r="477" spans="1:9" s="249" customFormat="1" x14ac:dyDescent="0.2">
      <c r="A477" s="246"/>
      <c r="B477" s="233"/>
      <c r="C477" s="242"/>
      <c r="D477" s="50"/>
      <c r="E477" s="248"/>
      <c r="H477" s="50"/>
      <c r="I477" s="50"/>
    </row>
    <row r="478" spans="1:9" s="249" customFormat="1" x14ac:dyDescent="0.2">
      <c r="A478" s="246"/>
      <c r="B478" s="233"/>
      <c r="C478" s="242"/>
      <c r="D478" s="50"/>
      <c r="E478" s="248"/>
      <c r="H478" s="50"/>
      <c r="I478" s="50"/>
    </row>
    <row r="479" spans="1:9" s="249" customFormat="1" x14ac:dyDescent="0.2">
      <c r="A479" s="246"/>
      <c r="B479" s="233"/>
      <c r="C479" s="242"/>
      <c r="D479" s="50"/>
      <c r="E479" s="248"/>
      <c r="H479" s="50"/>
      <c r="I479" s="50"/>
    </row>
    <row r="480" spans="1:9" s="249" customFormat="1" x14ac:dyDescent="0.2">
      <c r="A480" s="246"/>
      <c r="B480" s="233"/>
      <c r="C480" s="242"/>
      <c r="D480" s="50"/>
      <c r="E480" s="248"/>
      <c r="H480" s="50"/>
      <c r="I480" s="50"/>
    </row>
    <row r="481" spans="1:9" s="249" customFormat="1" x14ac:dyDescent="0.2">
      <c r="A481" s="246"/>
      <c r="B481" s="233"/>
      <c r="C481" s="242"/>
      <c r="D481" s="50"/>
      <c r="E481" s="248"/>
      <c r="H481" s="50"/>
      <c r="I481" s="50"/>
    </row>
    <row r="482" spans="1:9" s="249" customFormat="1" x14ac:dyDescent="0.2">
      <c r="A482" s="246"/>
      <c r="B482" s="233"/>
      <c r="C482" s="242"/>
      <c r="D482" s="50"/>
      <c r="E482" s="248"/>
      <c r="H482" s="50"/>
      <c r="I482" s="50"/>
    </row>
    <row r="483" spans="1:9" s="249" customFormat="1" x14ac:dyDescent="0.2">
      <c r="A483" s="246"/>
      <c r="B483" s="233"/>
      <c r="C483" s="242"/>
      <c r="D483" s="50"/>
      <c r="E483" s="248"/>
      <c r="H483" s="50"/>
      <c r="I483" s="50"/>
    </row>
    <row r="484" spans="1:9" s="249" customFormat="1" x14ac:dyDescent="0.2">
      <c r="A484" s="246"/>
      <c r="B484" s="233"/>
      <c r="C484" s="242"/>
      <c r="D484" s="50"/>
      <c r="E484" s="248"/>
      <c r="H484" s="50"/>
      <c r="I484" s="50"/>
    </row>
    <row r="485" spans="1:9" s="249" customFormat="1" x14ac:dyDescent="0.2">
      <c r="A485" s="246"/>
      <c r="B485" s="233"/>
      <c r="C485" s="242"/>
      <c r="D485" s="50"/>
      <c r="E485" s="248"/>
      <c r="H485" s="50"/>
      <c r="I485" s="50"/>
    </row>
    <row r="486" spans="1:9" s="249" customFormat="1" x14ac:dyDescent="0.2">
      <c r="A486" s="246"/>
      <c r="B486" s="233"/>
      <c r="C486" s="242"/>
      <c r="D486" s="50"/>
      <c r="E486" s="248"/>
      <c r="H486" s="50"/>
      <c r="I486" s="50"/>
    </row>
    <row r="487" spans="1:9" s="249" customFormat="1" x14ac:dyDescent="0.2">
      <c r="A487" s="246"/>
      <c r="B487" s="233"/>
      <c r="C487" s="242"/>
      <c r="D487" s="50"/>
      <c r="E487" s="248"/>
      <c r="H487" s="50"/>
      <c r="I487" s="50"/>
    </row>
    <row r="488" spans="1:9" s="249" customFormat="1" x14ac:dyDescent="0.2">
      <c r="A488" s="246"/>
      <c r="B488" s="233"/>
      <c r="C488" s="242"/>
      <c r="D488" s="50"/>
      <c r="E488" s="248"/>
      <c r="H488" s="50"/>
      <c r="I488" s="50"/>
    </row>
    <row r="489" spans="1:9" s="249" customFormat="1" x14ac:dyDescent="0.2">
      <c r="A489" s="246"/>
      <c r="B489" s="233"/>
      <c r="C489" s="242"/>
      <c r="D489" s="50"/>
      <c r="E489" s="248"/>
      <c r="H489" s="50"/>
      <c r="I489" s="50"/>
    </row>
    <row r="490" spans="1:9" s="249" customFormat="1" x14ac:dyDescent="0.2">
      <c r="A490" s="246"/>
      <c r="B490" s="233"/>
      <c r="C490" s="242"/>
      <c r="D490" s="50"/>
      <c r="E490" s="248"/>
      <c r="H490" s="50"/>
      <c r="I490" s="50"/>
    </row>
    <row r="491" spans="1:9" s="249" customFormat="1" x14ac:dyDescent="0.2">
      <c r="A491" s="246"/>
      <c r="B491" s="233"/>
      <c r="C491" s="242"/>
      <c r="D491" s="50"/>
      <c r="E491" s="248"/>
      <c r="H491" s="50"/>
      <c r="I491" s="50"/>
    </row>
    <row r="492" spans="1:9" s="249" customFormat="1" x14ac:dyDescent="0.2">
      <c r="A492" s="246"/>
      <c r="B492" s="233"/>
      <c r="C492" s="242"/>
      <c r="D492" s="50"/>
      <c r="E492" s="248"/>
      <c r="H492" s="50"/>
      <c r="I492" s="50"/>
    </row>
    <row r="493" spans="1:9" s="249" customFormat="1" x14ac:dyDescent="0.2">
      <c r="A493" s="246"/>
      <c r="B493" s="233"/>
      <c r="C493" s="242"/>
      <c r="D493" s="50"/>
      <c r="E493" s="248"/>
      <c r="H493" s="50"/>
      <c r="I493" s="50"/>
    </row>
    <row r="494" spans="1:9" s="249" customFormat="1" x14ac:dyDescent="0.2">
      <c r="A494" s="246"/>
      <c r="B494" s="233"/>
      <c r="C494" s="242"/>
      <c r="D494" s="50"/>
      <c r="E494" s="248"/>
      <c r="H494" s="50"/>
      <c r="I494" s="50"/>
    </row>
    <row r="495" spans="1:9" s="249" customFormat="1" x14ac:dyDescent="0.2">
      <c r="A495" s="246"/>
      <c r="B495" s="233"/>
      <c r="C495" s="242"/>
      <c r="D495" s="50"/>
      <c r="E495" s="248"/>
      <c r="H495" s="50"/>
      <c r="I495" s="50"/>
    </row>
    <row r="496" spans="1:9" s="249" customFormat="1" x14ac:dyDescent="0.2">
      <c r="A496" s="246"/>
      <c r="B496" s="233"/>
      <c r="C496" s="242"/>
      <c r="D496" s="50"/>
      <c r="E496" s="248"/>
      <c r="H496" s="50"/>
      <c r="I496" s="50"/>
    </row>
    <row r="497" spans="1:9" s="249" customFormat="1" x14ac:dyDescent="0.2">
      <c r="A497" s="246"/>
      <c r="B497" s="233"/>
      <c r="C497" s="242"/>
      <c r="D497" s="50"/>
      <c r="E497" s="248"/>
      <c r="H497" s="50"/>
      <c r="I497" s="50"/>
    </row>
    <row r="498" spans="1:9" s="249" customFormat="1" x14ac:dyDescent="0.2">
      <c r="A498" s="246"/>
      <c r="B498" s="233"/>
      <c r="C498" s="242"/>
      <c r="D498" s="50"/>
      <c r="E498" s="248"/>
      <c r="H498" s="50"/>
      <c r="I498" s="50"/>
    </row>
    <row r="499" spans="1:9" s="249" customFormat="1" x14ac:dyDescent="0.2">
      <c r="A499" s="246"/>
      <c r="B499" s="233"/>
      <c r="C499" s="242"/>
      <c r="D499" s="50"/>
      <c r="E499" s="248"/>
      <c r="H499" s="50"/>
      <c r="I499" s="50"/>
    </row>
    <row r="500" spans="1:9" s="249" customFormat="1" x14ac:dyDescent="0.2">
      <c r="A500" s="246"/>
      <c r="B500" s="233"/>
      <c r="C500" s="242"/>
      <c r="D500" s="50"/>
      <c r="E500" s="248"/>
      <c r="H500" s="50"/>
      <c r="I500" s="50"/>
    </row>
    <row r="501" spans="1:9" s="249" customFormat="1" x14ac:dyDescent="0.2">
      <c r="A501" s="246"/>
      <c r="B501" s="233"/>
      <c r="C501" s="242"/>
      <c r="D501" s="50"/>
      <c r="E501" s="248"/>
      <c r="H501" s="50"/>
      <c r="I501" s="50"/>
    </row>
    <row r="502" spans="1:9" s="249" customFormat="1" x14ac:dyDescent="0.2">
      <c r="A502" s="246"/>
      <c r="B502" s="233"/>
      <c r="C502" s="242"/>
      <c r="D502" s="50"/>
      <c r="E502" s="248"/>
      <c r="H502" s="50"/>
      <c r="I502" s="50"/>
    </row>
    <row r="503" spans="1:9" s="249" customFormat="1" x14ac:dyDescent="0.2">
      <c r="A503" s="246"/>
      <c r="B503" s="233"/>
      <c r="C503" s="242"/>
      <c r="D503" s="50"/>
      <c r="E503" s="248"/>
      <c r="H503" s="50"/>
      <c r="I503" s="50"/>
    </row>
    <row r="504" spans="1:9" s="249" customFormat="1" x14ac:dyDescent="0.2">
      <c r="A504" s="246"/>
      <c r="B504" s="233"/>
      <c r="C504" s="242"/>
      <c r="D504" s="50"/>
      <c r="E504" s="248"/>
      <c r="H504" s="50"/>
      <c r="I504" s="50"/>
    </row>
    <row r="505" spans="1:9" s="249" customFormat="1" x14ac:dyDescent="0.2">
      <c r="A505" s="246"/>
      <c r="B505" s="233"/>
      <c r="C505" s="242"/>
      <c r="D505" s="50"/>
      <c r="E505" s="248"/>
      <c r="H505" s="50"/>
      <c r="I505" s="50"/>
    </row>
    <row r="506" spans="1:9" s="249" customFormat="1" x14ac:dyDescent="0.2">
      <c r="A506" s="246"/>
      <c r="B506" s="233"/>
      <c r="C506" s="242"/>
      <c r="D506" s="50"/>
      <c r="E506" s="248"/>
      <c r="H506" s="50"/>
      <c r="I506" s="50"/>
    </row>
    <row r="507" spans="1:9" s="249" customFormat="1" x14ac:dyDescent="0.2">
      <c r="A507" s="246"/>
      <c r="B507" s="233"/>
      <c r="C507" s="242"/>
      <c r="D507" s="50"/>
      <c r="E507" s="248"/>
      <c r="H507" s="50"/>
      <c r="I507" s="50"/>
    </row>
    <row r="508" spans="1:9" s="249" customFormat="1" x14ac:dyDescent="0.2">
      <c r="A508" s="246"/>
      <c r="B508" s="233"/>
      <c r="C508" s="242"/>
      <c r="D508" s="50"/>
      <c r="E508" s="248"/>
      <c r="H508" s="50"/>
      <c r="I508" s="50"/>
    </row>
    <row r="509" spans="1:9" s="249" customFormat="1" x14ac:dyDescent="0.2">
      <c r="A509" s="246"/>
      <c r="B509" s="233"/>
      <c r="C509" s="242"/>
      <c r="D509" s="50"/>
      <c r="E509" s="248"/>
      <c r="H509" s="50"/>
      <c r="I509" s="50"/>
    </row>
    <row r="510" spans="1:9" s="249" customFormat="1" x14ac:dyDescent="0.2">
      <c r="A510" s="246"/>
      <c r="B510" s="233"/>
      <c r="C510" s="242"/>
      <c r="D510" s="50"/>
      <c r="E510" s="248"/>
      <c r="H510" s="50"/>
      <c r="I510" s="50"/>
    </row>
    <row r="511" spans="1:9" s="249" customFormat="1" x14ac:dyDescent="0.2">
      <c r="A511" s="246"/>
      <c r="B511" s="233"/>
      <c r="C511" s="242"/>
      <c r="D511" s="50"/>
      <c r="E511" s="248"/>
      <c r="H511" s="50"/>
      <c r="I511" s="50"/>
    </row>
    <row r="512" spans="1:9" s="249" customFormat="1" x14ac:dyDescent="0.2">
      <c r="A512" s="246"/>
      <c r="B512" s="233"/>
      <c r="C512" s="242"/>
      <c r="D512" s="50"/>
      <c r="E512" s="248"/>
      <c r="H512" s="50"/>
      <c r="I512" s="50"/>
    </row>
    <row r="513" spans="1:9" s="249" customFormat="1" x14ac:dyDescent="0.2">
      <c r="A513" s="246"/>
      <c r="B513" s="233"/>
      <c r="C513" s="242"/>
      <c r="D513" s="50"/>
      <c r="E513" s="248"/>
      <c r="H513" s="50"/>
      <c r="I513" s="50"/>
    </row>
    <row r="514" spans="1:9" s="249" customFormat="1" x14ac:dyDescent="0.2">
      <c r="A514" s="246"/>
      <c r="B514" s="233"/>
      <c r="C514" s="242"/>
      <c r="D514" s="50"/>
      <c r="E514" s="248"/>
      <c r="H514" s="50"/>
      <c r="I514" s="50"/>
    </row>
    <row r="515" spans="1:9" s="249" customFormat="1" x14ac:dyDescent="0.2">
      <c r="A515" s="246"/>
      <c r="B515" s="233"/>
      <c r="C515" s="242"/>
      <c r="D515" s="50"/>
      <c r="E515" s="248"/>
      <c r="H515" s="50"/>
      <c r="I515" s="50"/>
    </row>
    <row r="516" spans="1:9" s="249" customFormat="1" x14ac:dyDescent="0.2">
      <c r="A516" s="246"/>
      <c r="B516" s="233"/>
      <c r="C516" s="242"/>
      <c r="D516" s="50"/>
      <c r="E516" s="248"/>
      <c r="H516" s="50"/>
      <c r="I516" s="50"/>
    </row>
    <row r="517" spans="1:9" s="249" customFormat="1" x14ac:dyDescent="0.2">
      <c r="A517" s="246"/>
      <c r="B517" s="233"/>
      <c r="C517" s="242"/>
      <c r="D517" s="50"/>
      <c r="E517" s="248"/>
      <c r="H517" s="50"/>
      <c r="I517" s="50"/>
    </row>
    <row r="518" spans="1:9" s="249" customFormat="1" x14ac:dyDescent="0.2">
      <c r="A518" s="246"/>
      <c r="B518" s="233"/>
      <c r="C518" s="242"/>
      <c r="D518" s="50"/>
      <c r="E518" s="248"/>
      <c r="H518" s="50"/>
      <c r="I518" s="50"/>
    </row>
    <row r="519" spans="1:9" s="249" customFormat="1" x14ac:dyDescent="0.2">
      <c r="A519" s="246"/>
      <c r="B519" s="233"/>
      <c r="C519" s="242"/>
      <c r="D519" s="50"/>
      <c r="E519" s="248"/>
      <c r="H519" s="50"/>
      <c r="I519" s="50"/>
    </row>
    <row r="520" spans="1:9" s="249" customFormat="1" x14ac:dyDescent="0.2">
      <c r="A520" s="246"/>
      <c r="B520" s="233"/>
      <c r="C520" s="242"/>
      <c r="D520" s="50"/>
      <c r="E520" s="248"/>
      <c r="H520" s="50"/>
      <c r="I520" s="50"/>
    </row>
    <row r="521" spans="1:9" s="249" customFormat="1" x14ac:dyDescent="0.2">
      <c r="A521" s="246"/>
      <c r="B521" s="233"/>
      <c r="C521" s="242"/>
      <c r="D521" s="50"/>
      <c r="E521" s="248"/>
      <c r="H521" s="50"/>
      <c r="I521" s="50"/>
    </row>
    <row r="522" spans="1:9" s="249" customFormat="1" x14ac:dyDescent="0.2">
      <c r="A522" s="246"/>
      <c r="B522" s="233"/>
      <c r="C522" s="242"/>
      <c r="D522" s="50"/>
      <c r="E522" s="248"/>
      <c r="H522" s="50"/>
      <c r="I522" s="50"/>
    </row>
    <row r="523" spans="1:9" s="249" customFormat="1" x14ac:dyDescent="0.2">
      <c r="A523" s="246"/>
      <c r="B523" s="233"/>
      <c r="C523" s="242"/>
      <c r="D523" s="50"/>
      <c r="E523" s="248"/>
      <c r="H523" s="50"/>
      <c r="I523" s="50"/>
    </row>
    <row r="524" spans="1:9" s="249" customFormat="1" x14ac:dyDescent="0.2">
      <c r="A524" s="246"/>
      <c r="B524" s="233"/>
      <c r="C524" s="242"/>
      <c r="D524" s="50"/>
      <c r="E524" s="248"/>
      <c r="H524" s="50"/>
      <c r="I524" s="50"/>
    </row>
    <row r="525" spans="1:9" s="249" customFormat="1" x14ac:dyDescent="0.2">
      <c r="A525" s="246"/>
      <c r="B525" s="233"/>
      <c r="C525" s="242"/>
      <c r="D525" s="50"/>
      <c r="E525" s="248"/>
      <c r="H525" s="50"/>
      <c r="I525" s="50"/>
    </row>
    <row r="526" spans="1:9" s="249" customFormat="1" x14ac:dyDescent="0.2">
      <c r="A526" s="246"/>
      <c r="B526" s="233"/>
      <c r="C526" s="242"/>
      <c r="D526" s="50"/>
      <c r="E526" s="248"/>
      <c r="H526" s="50"/>
      <c r="I526" s="50"/>
    </row>
    <row r="527" spans="1:9" s="249" customFormat="1" x14ac:dyDescent="0.2">
      <c r="A527" s="246"/>
      <c r="B527" s="233"/>
      <c r="C527" s="242"/>
      <c r="D527" s="50"/>
      <c r="E527" s="248"/>
      <c r="H527" s="50"/>
      <c r="I527" s="50"/>
    </row>
    <row r="528" spans="1:9" s="249" customFormat="1" x14ac:dyDescent="0.2">
      <c r="A528" s="246"/>
      <c r="B528" s="233"/>
      <c r="C528" s="242"/>
      <c r="D528" s="50"/>
      <c r="E528" s="248"/>
      <c r="H528" s="50"/>
      <c r="I528" s="50"/>
    </row>
    <row r="529" spans="1:9" s="249" customFormat="1" x14ac:dyDescent="0.2">
      <c r="A529" s="246"/>
      <c r="B529" s="233"/>
      <c r="C529" s="242"/>
      <c r="D529" s="50"/>
      <c r="E529" s="248"/>
      <c r="H529" s="50"/>
      <c r="I529" s="50"/>
    </row>
    <row r="530" spans="1:9" s="249" customFormat="1" x14ac:dyDescent="0.2">
      <c r="A530" s="246"/>
      <c r="B530" s="233"/>
      <c r="C530" s="242"/>
      <c r="D530" s="50"/>
      <c r="E530" s="248"/>
      <c r="H530" s="50"/>
      <c r="I530" s="50"/>
    </row>
    <row r="531" spans="1:9" s="249" customFormat="1" x14ac:dyDescent="0.2">
      <c r="A531" s="246"/>
      <c r="B531" s="233"/>
      <c r="C531" s="242"/>
      <c r="D531" s="50"/>
      <c r="E531" s="248"/>
      <c r="H531" s="50"/>
      <c r="I531" s="50"/>
    </row>
    <row r="532" spans="1:9" s="249" customFormat="1" x14ac:dyDescent="0.2">
      <c r="A532" s="246"/>
      <c r="B532" s="233"/>
      <c r="C532" s="242"/>
      <c r="D532" s="50"/>
      <c r="E532" s="248"/>
      <c r="H532" s="50"/>
      <c r="I532" s="50"/>
    </row>
    <row r="533" spans="1:9" s="249" customFormat="1" x14ac:dyDescent="0.2">
      <c r="A533" s="246"/>
      <c r="B533" s="233"/>
      <c r="C533" s="242"/>
      <c r="D533" s="50"/>
      <c r="E533" s="248"/>
      <c r="H533" s="50"/>
      <c r="I533" s="50"/>
    </row>
    <row r="534" spans="1:9" s="249" customFormat="1" x14ac:dyDescent="0.2">
      <c r="A534" s="246"/>
      <c r="B534" s="233"/>
      <c r="C534" s="242"/>
      <c r="D534" s="50"/>
      <c r="E534" s="248"/>
      <c r="H534" s="50"/>
      <c r="I534" s="50"/>
    </row>
    <row r="535" spans="1:9" s="249" customFormat="1" x14ac:dyDescent="0.2">
      <c r="A535" s="246"/>
      <c r="B535" s="233"/>
      <c r="C535" s="242"/>
      <c r="D535" s="50"/>
      <c r="E535" s="248"/>
      <c r="H535" s="50"/>
      <c r="I535" s="50"/>
    </row>
    <row r="536" spans="1:9" s="249" customFormat="1" x14ac:dyDescent="0.2">
      <c r="A536" s="246"/>
      <c r="B536" s="233"/>
      <c r="C536" s="242"/>
      <c r="D536" s="50"/>
      <c r="E536" s="248"/>
      <c r="H536" s="50"/>
      <c r="I536" s="50"/>
    </row>
    <row r="537" spans="1:9" s="249" customFormat="1" x14ac:dyDescent="0.2">
      <c r="A537" s="246"/>
      <c r="B537" s="233"/>
      <c r="C537" s="242"/>
      <c r="D537" s="50"/>
      <c r="E537" s="248"/>
      <c r="H537" s="50"/>
      <c r="I537" s="50"/>
    </row>
    <row r="538" spans="1:9" s="249" customFormat="1" x14ac:dyDescent="0.2">
      <c r="A538" s="246"/>
      <c r="B538" s="233"/>
      <c r="C538" s="242"/>
      <c r="D538" s="50"/>
      <c r="E538" s="248"/>
      <c r="H538" s="50"/>
      <c r="I538" s="50"/>
    </row>
    <row r="539" spans="1:9" s="249" customFormat="1" x14ac:dyDescent="0.2">
      <c r="A539" s="246"/>
      <c r="B539" s="233"/>
      <c r="C539" s="242"/>
      <c r="D539" s="50"/>
      <c r="E539" s="248"/>
      <c r="H539" s="50"/>
      <c r="I539" s="50"/>
    </row>
    <row r="540" spans="1:9" s="249" customFormat="1" x14ac:dyDescent="0.2">
      <c r="A540" s="246"/>
      <c r="B540" s="233"/>
      <c r="C540" s="242"/>
      <c r="D540" s="50"/>
      <c r="E540" s="248"/>
      <c r="H540" s="50"/>
      <c r="I540" s="50"/>
    </row>
    <row r="541" spans="1:9" s="249" customFormat="1" x14ac:dyDescent="0.2">
      <c r="A541" s="246"/>
      <c r="B541" s="233"/>
      <c r="C541" s="242"/>
      <c r="D541" s="50"/>
      <c r="E541" s="248"/>
      <c r="H541" s="50"/>
      <c r="I541" s="50"/>
    </row>
    <row r="542" spans="1:9" s="249" customFormat="1" x14ac:dyDescent="0.2">
      <c r="A542" s="246"/>
      <c r="B542" s="233"/>
      <c r="C542" s="242"/>
      <c r="D542" s="50"/>
      <c r="E542" s="248"/>
      <c r="H542" s="50"/>
      <c r="I542" s="50"/>
    </row>
    <row r="543" spans="1:9" s="249" customFormat="1" x14ac:dyDescent="0.2">
      <c r="A543" s="246"/>
      <c r="B543" s="233"/>
      <c r="C543" s="242"/>
      <c r="D543" s="50"/>
      <c r="E543" s="248"/>
      <c r="H543" s="50"/>
      <c r="I543" s="50"/>
    </row>
    <row r="544" spans="1:9" s="249" customFormat="1" x14ac:dyDescent="0.2">
      <c r="A544" s="246"/>
      <c r="B544" s="233"/>
      <c r="C544" s="242"/>
      <c r="D544" s="50"/>
      <c r="E544" s="248"/>
      <c r="H544" s="50"/>
      <c r="I544" s="50"/>
    </row>
    <row r="545" spans="1:9" s="249" customFormat="1" x14ac:dyDescent="0.2">
      <c r="A545" s="246"/>
      <c r="B545" s="233"/>
      <c r="C545" s="242"/>
      <c r="D545" s="50"/>
      <c r="E545" s="248"/>
      <c r="H545" s="50"/>
      <c r="I545" s="50"/>
    </row>
    <row r="546" spans="1:9" s="249" customFormat="1" x14ac:dyDescent="0.2">
      <c r="A546" s="246"/>
      <c r="B546" s="233"/>
      <c r="C546" s="242"/>
      <c r="D546" s="50"/>
      <c r="E546" s="248"/>
      <c r="H546" s="50"/>
      <c r="I546" s="50"/>
    </row>
    <row r="547" spans="1:9" s="249" customFormat="1" x14ac:dyDescent="0.2">
      <c r="A547" s="246"/>
      <c r="B547" s="233"/>
      <c r="C547" s="242"/>
      <c r="D547" s="50"/>
      <c r="E547" s="248"/>
      <c r="H547" s="50"/>
      <c r="I547" s="50"/>
    </row>
    <row r="548" spans="1:9" s="249" customFormat="1" x14ac:dyDescent="0.2">
      <c r="A548" s="246"/>
      <c r="B548" s="233"/>
      <c r="C548" s="242"/>
      <c r="D548" s="50"/>
      <c r="E548" s="248"/>
      <c r="H548" s="50"/>
      <c r="I548" s="50"/>
    </row>
    <row r="549" spans="1:9" s="249" customFormat="1" x14ac:dyDescent="0.2">
      <c r="A549" s="246"/>
      <c r="B549" s="233"/>
      <c r="C549" s="242"/>
      <c r="D549" s="50"/>
      <c r="E549" s="248"/>
      <c r="H549" s="50"/>
      <c r="I549" s="50"/>
    </row>
    <row r="550" spans="1:9" s="249" customFormat="1" x14ac:dyDescent="0.2">
      <c r="A550" s="246"/>
      <c r="B550" s="233"/>
      <c r="C550" s="242"/>
      <c r="D550" s="50"/>
      <c r="E550" s="248"/>
      <c r="H550" s="50"/>
      <c r="I550" s="50"/>
    </row>
    <row r="551" spans="1:9" s="249" customFormat="1" x14ac:dyDescent="0.2">
      <c r="A551" s="246"/>
      <c r="B551" s="233"/>
      <c r="C551" s="242"/>
      <c r="D551" s="50"/>
      <c r="E551" s="248"/>
      <c r="H551" s="50"/>
      <c r="I551" s="50"/>
    </row>
    <row r="552" spans="1:9" s="249" customFormat="1" x14ac:dyDescent="0.2">
      <c r="A552" s="246"/>
      <c r="B552" s="233"/>
      <c r="C552" s="242"/>
      <c r="D552" s="50"/>
      <c r="E552" s="248"/>
      <c r="H552" s="50"/>
      <c r="I552" s="50"/>
    </row>
    <row r="553" spans="1:9" s="249" customFormat="1" x14ac:dyDescent="0.2">
      <c r="A553" s="246"/>
      <c r="B553" s="233"/>
      <c r="C553" s="242"/>
      <c r="D553" s="50"/>
      <c r="E553" s="248"/>
      <c r="H553" s="50"/>
      <c r="I553" s="50"/>
    </row>
    <row r="554" spans="1:9" s="249" customFormat="1" x14ac:dyDescent="0.2">
      <c r="A554" s="246"/>
      <c r="B554" s="233"/>
      <c r="C554" s="242"/>
      <c r="D554" s="50"/>
      <c r="E554" s="248"/>
      <c r="H554" s="50"/>
      <c r="I554" s="50"/>
    </row>
    <row r="555" spans="1:9" s="249" customFormat="1" x14ac:dyDescent="0.2">
      <c r="A555" s="246"/>
      <c r="B555" s="233"/>
      <c r="C555" s="242"/>
      <c r="D555" s="50"/>
      <c r="E555" s="248"/>
      <c r="H555" s="50"/>
      <c r="I555" s="50"/>
    </row>
    <row r="556" spans="1:9" s="249" customFormat="1" x14ac:dyDescent="0.2">
      <c r="A556" s="246"/>
      <c r="B556" s="233"/>
      <c r="C556" s="242"/>
      <c r="D556" s="50"/>
      <c r="E556" s="248"/>
      <c r="H556" s="50"/>
      <c r="I556" s="50"/>
    </row>
    <row r="557" spans="1:9" s="249" customFormat="1" x14ac:dyDescent="0.2">
      <c r="A557" s="246"/>
      <c r="B557" s="233"/>
      <c r="C557" s="242"/>
      <c r="D557" s="50"/>
      <c r="E557" s="248"/>
      <c r="H557" s="50"/>
      <c r="I557" s="50"/>
    </row>
    <row r="558" spans="1:9" s="249" customFormat="1" x14ac:dyDescent="0.2">
      <c r="A558" s="246"/>
      <c r="B558" s="233"/>
      <c r="C558" s="242"/>
      <c r="D558" s="50"/>
      <c r="E558" s="248"/>
      <c r="H558" s="50"/>
      <c r="I558" s="50"/>
    </row>
    <row r="559" spans="1:9" s="249" customFormat="1" x14ac:dyDescent="0.2">
      <c r="A559" s="246"/>
      <c r="B559" s="233"/>
      <c r="C559" s="242"/>
      <c r="D559" s="50"/>
      <c r="E559" s="248"/>
      <c r="H559" s="50"/>
      <c r="I559" s="50"/>
    </row>
    <row r="560" spans="1:9" s="249" customFormat="1" x14ac:dyDescent="0.2">
      <c r="A560" s="246"/>
      <c r="B560" s="233"/>
      <c r="C560" s="242"/>
      <c r="D560" s="50"/>
      <c r="E560" s="248"/>
      <c r="H560" s="50"/>
      <c r="I560" s="50"/>
    </row>
    <row r="561" spans="1:9" s="249" customFormat="1" x14ac:dyDescent="0.2">
      <c r="A561" s="246"/>
      <c r="B561" s="233"/>
      <c r="C561" s="242"/>
      <c r="D561" s="50"/>
      <c r="E561" s="248"/>
      <c r="H561" s="50"/>
      <c r="I561" s="50"/>
    </row>
    <row r="562" spans="1:9" s="249" customFormat="1" x14ac:dyDescent="0.2">
      <c r="A562" s="246"/>
      <c r="B562" s="233"/>
      <c r="C562" s="242"/>
      <c r="D562" s="50"/>
      <c r="E562" s="248"/>
      <c r="H562" s="50"/>
      <c r="I562" s="50"/>
    </row>
    <row r="563" spans="1:9" s="249" customFormat="1" x14ac:dyDescent="0.2">
      <c r="A563" s="246"/>
      <c r="B563" s="233"/>
      <c r="C563" s="242"/>
      <c r="D563" s="50"/>
      <c r="E563" s="248"/>
      <c r="H563" s="50"/>
      <c r="I563" s="50"/>
    </row>
    <row r="564" spans="1:9" s="249" customFormat="1" x14ac:dyDescent="0.2">
      <c r="A564" s="246"/>
      <c r="B564" s="233"/>
      <c r="C564" s="242"/>
      <c r="D564" s="50"/>
      <c r="E564" s="248"/>
      <c r="H564" s="50"/>
      <c r="I564" s="50"/>
    </row>
    <row r="565" spans="1:9" s="249" customFormat="1" x14ac:dyDescent="0.2">
      <c r="A565" s="246"/>
      <c r="B565" s="233"/>
      <c r="C565" s="242"/>
      <c r="D565" s="50"/>
      <c r="E565" s="248"/>
      <c r="H565" s="50"/>
      <c r="I565" s="50"/>
    </row>
    <row r="566" spans="1:9" s="249" customFormat="1" x14ac:dyDescent="0.2">
      <c r="A566" s="246"/>
      <c r="B566" s="233"/>
      <c r="C566" s="242"/>
      <c r="D566" s="50"/>
      <c r="E566" s="248"/>
      <c r="H566" s="50"/>
      <c r="I566" s="50"/>
    </row>
    <row r="567" spans="1:9" s="249" customFormat="1" x14ac:dyDescent="0.2">
      <c r="A567" s="246"/>
      <c r="B567" s="233"/>
      <c r="C567" s="242"/>
      <c r="D567" s="50"/>
      <c r="E567" s="248"/>
      <c r="H567" s="50"/>
      <c r="I567" s="50"/>
    </row>
    <row r="568" spans="1:9" s="249" customFormat="1" x14ac:dyDescent="0.2">
      <c r="A568" s="246"/>
      <c r="B568" s="233"/>
      <c r="C568" s="242"/>
      <c r="D568" s="50"/>
      <c r="E568" s="248"/>
      <c r="H568" s="50"/>
      <c r="I568" s="50"/>
    </row>
    <row r="569" spans="1:9" s="249" customFormat="1" x14ac:dyDescent="0.2">
      <c r="A569" s="246"/>
      <c r="B569" s="233"/>
      <c r="C569" s="242"/>
      <c r="D569" s="50"/>
      <c r="E569" s="248"/>
      <c r="H569" s="50"/>
      <c r="I569" s="50"/>
    </row>
    <row r="570" spans="1:9" s="249" customFormat="1" x14ac:dyDescent="0.2">
      <c r="A570" s="246"/>
      <c r="B570" s="233"/>
      <c r="C570" s="242"/>
      <c r="D570" s="50"/>
      <c r="E570" s="248"/>
      <c r="H570" s="50"/>
      <c r="I570" s="50"/>
    </row>
    <row r="571" spans="1:9" s="249" customFormat="1" x14ac:dyDescent="0.2">
      <c r="A571" s="246"/>
      <c r="B571" s="233"/>
      <c r="C571" s="242"/>
      <c r="D571" s="50"/>
      <c r="E571" s="248"/>
      <c r="H571" s="50"/>
      <c r="I571" s="50"/>
    </row>
    <row r="572" spans="1:9" s="249" customFormat="1" x14ac:dyDescent="0.2">
      <c r="A572" s="246"/>
      <c r="B572" s="233"/>
      <c r="C572" s="242"/>
      <c r="D572" s="50"/>
      <c r="E572" s="248"/>
      <c r="H572" s="50"/>
      <c r="I572" s="50"/>
    </row>
    <row r="573" spans="1:9" s="249" customFormat="1" x14ac:dyDescent="0.2">
      <c r="A573" s="246"/>
      <c r="B573" s="233"/>
      <c r="C573" s="242"/>
      <c r="D573" s="50"/>
      <c r="E573" s="248"/>
      <c r="H573" s="50"/>
      <c r="I573" s="50"/>
    </row>
    <row r="574" spans="1:9" s="249" customFormat="1" x14ac:dyDescent="0.2">
      <c r="A574" s="246"/>
      <c r="B574" s="233"/>
      <c r="C574" s="242"/>
      <c r="D574" s="50"/>
      <c r="E574" s="248"/>
      <c r="H574" s="50"/>
      <c r="I574" s="50"/>
    </row>
    <row r="575" spans="1:9" s="249" customFormat="1" x14ac:dyDescent="0.2">
      <c r="A575" s="246"/>
      <c r="B575" s="233"/>
      <c r="C575" s="242"/>
      <c r="D575" s="50"/>
      <c r="E575" s="248"/>
      <c r="H575" s="50"/>
      <c r="I575" s="50"/>
    </row>
    <row r="576" spans="1:9" s="249" customFormat="1" x14ac:dyDescent="0.2">
      <c r="A576" s="246"/>
      <c r="B576" s="233"/>
      <c r="C576" s="242"/>
      <c r="D576" s="50"/>
      <c r="E576" s="248"/>
      <c r="H576" s="50"/>
      <c r="I576" s="50"/>
    </row>
    <row r="577" spans="1:9" s="249" customFormat="1" x14ac:dyDescent="0.2">
      <c r="A577" s="246"/>
      <c r="B577" s="233"/>
      <c r="C577" s="242"/>
      <c r="D577" s="50"/>
      <c r="E577" s="248"/>
      <c r="H577" s="50"/>
      <c r="I577" s="50"/>
    </row>
    <row r="578" spans="1:9" s="249" customFormat="1" x14ac:dyDescent="0.2">
      <c r="A578" s="246"/>
      <c r="B578" s="233"/>
      <c r="C578" s="242"/>
      <c r="D578" s="50"/>
      <c r="E578" s="248"/>
      <c r="H578" s="50"/>
      <c r="I578" s="50"/>
    </row>
    <row r="579" spans="1:9" s="249" customFormat="1" x14ac:dyDescent="0.2">
      <c r="A579" s="246"/>
      <c r="B579" s="233"/>
      <c r="C579" s="242"/>
      <c r="D579" s="50"/>
      <c r="E579" s="248"/>
      <c r="H579" s="50"/>
      <c r="I579" s="50"/>
    </row>
    <row r="580" spans="1:9" s="249" customFormat="1" x14ac:dyDescent="0.2">
      <c r="A580" s="246"/>
      <c r="B580" s="233"/>
      <c r="C580" s="242"/>
      <c r="D580" s="50"/>
      <c r="E580" s="248"/>
      <c r="H580" s="50"/>
      <c r="I580" s="50"/>
    </row>
    <row r="581" spans="1:9" s="249" customFormat="1" x14ac:dyDescent="0.2">
      <c r="A581" s="246"/>
      <c r="B581" s="233"/>
      <c r="C581" s="242"/>
      <c r="D581" s="50"/>
      <c r="E581" s="248"/>
      <c r="H581" s="50"/>
      <c r="I581" s="50"/>
    </row>
    <row r="582" spans="1:9" s="249" customFormat="1" x14ac:dyDescent="0.2">
      <c r="A582" s="246"/>
      <c r="B582" s="233"/>
      <c r="C582" s="242"/>
      <c r="D582" s="50"/>
      <c r="E582" s="248"/>
      <c r="H582" s="50"/>
      <c r="I582" s="50"/>
    </row>
    <row r="583" spans="1:9" s="249" customFormat="1" x14ac:dyDescent="0.2">
      <c r="A583" s="246"/>
      <c r="B583" s="233"/>
      <c r="C583" s="242"/>
      <c r="D583" s="50"/>
      <c r="E583" s="248"/>
      <c r="H583" s="50"/>
      <c r="I583" s="50"/>
    </row>
    <row r="584" spans="1:9" s="249" customFormat="1" x14ac:dyDescent="0.2">
      <c r="A584" s="246"/>
      <c r="B584" s="233"/>
      <c r="C584" s="242"/>
      <c r="D584" s="50"/>
      <c r="E584" s="248"/>
      <c r="H584" s="50"/>
      <c r="I584" s="50"/>
    </row>
    <row r="585" spans="1:9" s="249" customFormat="1" x14ac:dyDescent="0.2">
      <c r="A585" s="246"/>
      <c r="B585" s="233"/>
      <c r="C585" s="242"/>
      <c r="D585" s="50"/>
      <c r="E585" s="248"/>
      <c r="H585" s="50"/>
      <c r="I585" s="50"/>
    </row>
    <row r="586" spans="1:9" s="249" customFormat="1" x14ac:dyDescent="0.2">
      <c r="A586" s="246"/>
      <c r="B586" s="233"/>
      <c r="C586" s="242"/>
      <c r="D586" s="50"/>
      <c r="E586" s="248"/>
      <c r="H586" s="50"/>
      <c r="I586" s="50"/>
    </row>
    <row r="587" spans="1:9" s="249" customFormat="1" x14ac:dyDescent="0.2">
      <c r="A587" s="246"/>
      <c r="B587" s="233"/>
      <c r="C587" s="242"/>
      <c r="D587" s="50"/>
      <c r="E587" s="248"/>
      <c r="H587" s="50"/>
      <c r="I587" s="50"/>
    </row>
    <row r="588" spans="1:9" s="249" customFormat="1" x14ac:dyDescent="0.2">
      <c r="A588" s="246"/>
      <c r="B588" s="233"/>
      <c r="C588" s="242"/>
      <c r="D588" s="50"/>
      <c r="E588" s="248"/>
      <c r="H588" s="50"/>
      <c r="I588" s="50"/>
    </row>
    <row r="589" spans="1:9" s="249" customFormat="1" x14ac:dyDescent="0.2">
      <c r="A589" s="246"/>
      <c r="B589" s="233"/>
      <c r="C589" s="242"/>
      <c r="D589" s="50"/>
      <c r="E589" s="248"/>
      <c r="H589" s="50"/>
      <c r="I589" s="50"/>
    </row>
    <row r="590" spans="1:9" s="249" customFormat="1" x14ac:dyDescent="0.2">
      <c r="A590" s="246"/>
      <c r="B590" s="233"/>
      <c r="C590" s="242"/>
      <c r="D590" s="50"/>
      <c r="E590" s="248"/>
      <c r="H590" s="50"/>
      <c r="I590" s="50"/>
    </row>
    <row r="591" spans="1:9" s="249" customFormat="1" x14ac:dyDescent="0.2">
      <c r="A591" s="246"/>
      <c r="B591" s="233"/>
      <c r="C591" s="242"/>
      <c r="D591" s="50"/>
      <c r="E591" s="248"/>
      <c r="H591" s="50"/>
      <c r="I591" s="50"/>
    </row>
    <row r="592" spans="1:9" s="249" customFormat="1" x14ac:dyDescent="0.2">
      <c r="A592" s="246"/>
      <c r="B592" s="233"/>
      <c r="C592" s="242"/>
      <c r="D592" s="50"/>
      <c r="E592" s="248"/>
      <c r="H592" s="50"/>
      <c r="I592" s="50"/>
    </row>
    <row r="593" spans="1:9" s="249" customFormat="1" x14ac:dyDescent="0.2">
      <c r="A593" s="246"/>
      <c r="B593" s="233"/>
      <c r="C593" s="242"/>
      <c r="D593" s="50"/>
      <c r="E593" s="248"/>
      <c r="H593" s="50"/>
      <c r="I593" s="50"/>
    </row>
    <row r="594" spans="1:9" s="249" customFormat="1" x14ac:dyDescent="0.2">
      <c r="A594" s="246"/>
      <c r="B594" s="233"/>
      <c r="C594" s="242"/>
      <c r="D594" s="50"/>
      <c r="E594" s="248"/>
      <c r="H594" s="50"/>
      <c r="I594" s="50"/>
    </row>
    <row r="595" spans="1:9" s="249" customFormat="1" x14ac:dyDescent="0.2">
      <c r="A595" s="246"/>
      <c r="B595" s="233"/>
      <c r="C595" s="242"/>
      <c r="D595" s="50"/>
      <c r="E595" s="248"/>
      <c r="H595" s="50"/>
      <c r="I595" s="50"/>
    </row>
    <row r="596" spans="1:9" s="249" customFormat="1" x14ac:dyDescent="0.2">
      <c r="A596" s="246"/>
      <c r="B596" s="233"/>
      <c r="C596" s="242"/>
      <c r="D596" s="50"/>
      <c r="E596" s="248"/>
      <c r="H596" s="50"/>
      <c r="I596" s="50"/>
    </row>
    <row r="597" spans="1:9" s="249" customFormat="1" x14ac:dyDescent="0.2">
      <c r="A597" s="246"/>
      <c r="B597" s="233"/>
      <c r="C597" s="242"/>
      <c r="D597" s="50"/>
      <c r="E597" s="248"/>
      <c r="H597" s="50"/>
      <c r="I597" s="50"/>
    </row>
    <row r="598" spans="1:9" s="249" customFormat="1" x14ac:dyDescent="0.2">
      <c r="A598" s="246"/>
      <c r="B598" s="233"/>
      <c r="C598" s="242"/>
      <c r="D598" s="50"/>
      <c r="E598" s="248"/>
      <c r="H598" s="50"/>
      <c r="I598" s="50"/>
    </row>
    <row r="599" spans="1:9" s="249" customFormat="1" x14ac:dyDescent="0.2">
      <c r="A599" s="246"/>
      <c r="B599" s="233"/>
      <c r="C599" s="242"/>
      <c r="D599" s="50"/>
      <c r="E599" s="248"/>
      <c r="H599" s="50"/>
      <c r="I599" s="50"/>
    </row>
    <row r="600" spans="1:9" s="249" customFormat="1" x14ac:dyDescent="0.2">
      <c r="A600" s="246"/>
      <c r="B600" s="233"/>
      <c r="C600" s="242"/>
      <c r="D600" s="50"/>
      <c r="E600" s="248"/>
      <c r="H600" s="50"/>
      <c r="I600" s="50"/>
    </row>
    <row r="601" spans="1:9" s="249" customFormat="1" x14ac:dyDescent="0.2">
      <c r="A601" s="246"/>
      <c r="B601" s="233"/>
      <c r="C601" s="242"/>
      <c r="D601" s="50"/>
      <c r="E601" s="248"/>
      <c r="H601" s="50"/>
      <c r="I601" s="50"/>
    </row>
    <row r="602" spans="1:9" s="249" customFormat="1" x14ac:dyDescent="0.2">
      <c r="A602" s="246"/>
      <c r="B602" s="233"/>
      <c r="C602" s="242"/>
      <c r="D602" s="50"/>
      <c r="E602" s="248"/>
      <c r="H602" s="50"/>
      <c r="I602" s="50"/>
    </row>
    <row r="603" spans="1:9" s="249" customFormat="1" x14ac:dyDescent="0.2">
      <c r="A603" s="246"/>
      <c r="B603" s="233"/>
      <c r="C603" s="242"/>
      <c r="D603" s="50"/>
      <c r="E603" s="248"/>
      <c r="H603" s="50"/>
      <c r="I603" s="50"/>
    </row>
    <row r="604" spans="1:9" s="249" customFormat="1" x14ac:dyDescent="0.2">
      <c r="A604" s="246"/>
      <c r="B604" s="233"/>
      <c r="C604" s="242"/>
      <c r="D604" s="50"/>
      <c r="E604" s="248"/>
      <c r="H604" s="50"/>
      <c r="I604" s="50"/>
    </row>
    <row r="605" spans="1:9" s="249" customFormat="1" x14ac:dyDescent="0.2">
      <c r="A605" s="246"/>
      <c r="B605" s="233"/>
      <c r="C605" s="242"/>
      <c r="D605" s="50"/>
      <c r="E605" s="248"/>
      <c r="H605" s="50"/>
      <c r="I605" s="50"/>
    </row>
    <row r="606" spans="1:9" s="249" customFormat="1" x14ac:dyDescent="0.2">
      <c r="A606" s="246"/>
      <c r="B606" s="233"/>
      <c r="C606" s="242"/>
      <c r="D606" s="50"/>
      <c r="E606" s="248"/>
      <c r="H606" s="50"/>
      <c r="I606" s="50"/>
    </row>
    <row r="607" spans="1:9" s="249" customFormat="1" x14ac:dyDescent="0.2">
      <c r="A607" s="246"/>
      <c r="B607" s="233"/>
      <c r="C607" s="242"/>
      <c r="D607" s="50"/>
      <c r="E607" s="248"/>
      <c r="H607" s="50"/>
      <c r="I607" s="50"/>
    </row>
    <row r="608" spans="1:9" s="249" customFormat="1" x14ac:dyDescent="0.2">
      <c r="A608" s="246"/>
      <c r="B608" s="233"/>
      <c r="C608" s="242"/>
      <c r="D608" s="50"/>
      <c r="E608" s="248"/>
      <c r="H608" s="50"/>
      <c r="I608" s="50"/>
    </row>
    <row r="609" spans="1:9" s="249" customFormat="1" x14ac:dyDescent="0.2">
      <c r="A609" s="246"/>
      <c r="B609" s="233"/>
      <c r="C609" s="242"/>
      <c r="D609" s="50"/>
      <c r="E609" s="248"/>
      <c r="H609" s="50"/>
      <c r="I609" s="50"/>
    </row>
    <row r="610" spans="1:9" s="249" customFormat="1" x14ac:dyDescent="0.2">
      <c r="A610" s="246"/>
      <c r="B610" s="233"/>
      <c r="C610" s="242"/>
      <c r="D610" s="50"/>
      <c r="E610" s="248"/>
      <c r="H610" s="50"/>
      <c r="I610" s="50"/>
    </row>
    <row r="611" spans="1:9" s="249" customFormat="1" x14ac:dyDescent="0.2">
      <c r="A611" s="246"/>
      <c r="B611" s="233"/>
      <c r="C611" s="242"/>
      <c r="D611" s="50"/>
      <c r="E611" s="248"/>
      <c r="H611" s="50"/>
      <c r="I611" s="50"/>
    </row>
    <row r="612" spans="1:9" s="249" customFormat="1" x14ac:dyDescent="0.2">
      <c r="A612" s="246"/>
      <c r="B612" s="233"/>
      <c r="C612" s="242"/>
      <c r="D612" s="50"/>
      <c r="E612" s="248"/>
      <c r="H612" s="50"/>
      <c r="I612" s="50"/>
    </row>
    <row r="613" spans="1:9" s="249" customFormat="1" x14ac:dyDescent="0.2">
      <c r="A613" s="246"/>
      <c r="B613" s="233"/>
      <c r="C613" s="242"/>
      <c r="D613" s="50"/>
      <c r="E613" s="248"/>
      <c r="H613" s="50"/>
      <c r="I613" s="50"/>
    </row>
    <row r="614" spans="1:9" s="249" customFormat="1" x14ac:dyDescent="0.2">
      <c r="A614" s="246"/>
      <c r="B614" s="233"/>
      <c r="C614" s="242"/>
      <c r="D614" s="50"/>
      <c r="E614" s="248"/>
      <c r="H614" s="50"/>
      <c r="I614" s="50"/>
    </row>
    <row r="615" spans="1:9" s="249" customFormat="1" x14ac:dyDescent="0.2">
      <c r="A615" s="246"/>
      <c r="B615" s="233"/>
      <c r="C615" s="242"/>
      <c r="D615" s="50"/>
      <c r="E615" s="248"/>
      <c r="H615" s="50"/>
      <c r="I615" s="50"/>
    </row>
    <row r="616" spans="1:9" s="249" customFormat="1" x14ac:dyDescent="0.2">
      <c r="A616" s="246"/>
      <c r="B616" s="233"/>
      <c r="C616" s="242"/>
      <c r="D616" s="50"/>
      <c r="E616" s="248"/>
      <c r="H616" s="50"/>
      <c r="I616" s="50"/>
    </row>
    <row r="617" spans="1:9" s="249" customFormat="1" x14ac:dyDescent="0.2">
      <c r="A617" s="246"/>
      <c r="B617" s="233"/>
      <c r="C617" s="242"/>
      <c r="D617" s="50"/>
      <c r="E617" s="248"/>
      <c r="H617" s="50"/>
      <c r="I617" s="50"/>
    </row>
    <row r="618" spans="1:9" s="249" customFormat="1" x14ac:dyDescent="0.2">
      <c r="A618" s="246"/>
      <c r="B618" s="233"/>
      <c r="C618" s="242"/>
      <c r="D618" s="50"/>
      <c r="E618" s="248"/>
      <c r="H618" s="50"/>
      <c r="I618" s="50"/>
    </row>
    <row r="619" spans="1:9" s="249" customFormat="1" x14ac:dyDescent="0.2">
      <c r="A619" s="246"/>
      <c r="B619" s="233"/>
      <c r="C619" s="242"/>
      <c r="D619" s="50"/>
      <c r="E619" s="248"/>
      <c r="H619" s="50"/>
      <c r="I619" s="50"/>
    </row>
    <row r="620" spans="1:9" s="249" customFormat="1" x14ac:dyDescent="0.2">
      <c r="A620" s="246"/>
      <c r="B620" s="233"/>
      <c r="C620" s="242"/>
      <c r="D620" s="50"/>
      <c r="E620" s="248"/>
      <c r="H620" s="50"/>
      <c r="I620" s="50"/>
    </row>
    <row r="621" spans="1:9" s="249" customFormat="1" x14ac:dyDescent="0.2">
      <c r="A621" s="246"/>
      <c r="B621" s="233"/>
      <c r="C621" s="242"/>
      <c r="D621" s="50"/>
      <c r="E621" s="248"/>
      <c r="H621" s="50"/>
      <c r="I621" s="50"/>
    </row>
    <row r="622" spans="1:9" s="249" customFormat="1" x14ac:dyDescent="0.2">
      <c r="A622" s="246"/>
      <c r="B622" s="233"/>
      <c r="C622" s="242"/>
      <c r="D622" s="50"/>
      <c r="E622" s="248"/>
      <c r="H622" s="50"/>
      <c r="I622" s="50"/>
    </row>
    <row r="623" spans="1:9" s="249" customFormat="1" x14ac:dyDescent="0.2">
      <c r="A623" s="246"/>
      <c r="B623" s="233"/>
      <c r="C623" s="242"/>
      <c r="D623" s="50"/>
      <c r="E623" s="248"/>
      <c r="H623" s="50"/>
      <c r="I623" s="50"/>
    </row>
    <row r="624" spans="1:9" s="249" customFormat="1" x14ac:dyDescent="0.2">
      <c r="A624" s="246"/>
      <c r="B624" s="233"/>
      <c r="C624" s="242"/>
      <c r="D624" s="50"/>
      <c r="E624" s="248"/>
      <c r="H624" s="50"/>
      <c r="I624" s="50"/>
    </row>
    <row r="625" spans="1:9" s="249" customFormat="1" x14ac:dyDescent="0.2">
      <c r="A625" s="246"/>
      <c r="B625" s="233"/>
      <c r="C625" s="242"/>
      <c r="D625" s="50"/>
      <c r="E625" s="248"/>
      <c r="H625" s="50"/>
      <c r="I625" s="50"/>
    </row>
    <row r="626" spans="1:9" s="249" customFormat="1" x14ac:dyDescent="0.2">
      <c r="A626" s="246"/>
      <c r="B626" s="233"/>
      <c r="C626" s="242"/>
      <c r="D626" s="50"/>
      <c r="E626" s="248"/>
      <c r="H626" s="50"/>
      <c r="I626" s="50"/>
    </row>
    <row r="627" spans="1:9" s="249" customFormat="1" x14ac:dyDescent="0.2">
      <c r="A627" s="246"/>
      <c r="B627" s="233"/>
      <c r="C627" s="242"/>
      <c r="D627" s="50"/>
      <c r="E627" s="248"/>
      <c r="H627" s="50"/>
      <c r="I627" s="50"/>
    </row>
    <row r="628" spans="1:9" s="249" customFormat="1" x14ac:dyDescent="0.2">
      <c r="A628" s="246"/>
      <c r="B628" s="233"/>
      <c r="C628" s="242"/>
      <c r="D628" s="50"/>
      <c r="E628" s="248"/>
      <c r="H628" s="50"/>
      <c r="I628" s="50"/>
    </row>
    <row r="629" spans="1:9" s="249" customFormat="1" x14ac:dyDescent="0.2">
      <c r="A629" s="246"/>
      <c r="B629" s="233"/>
      <c r="C629" s="242"/>
      <c r="D629" s="50"/>
      <c r="E629" s="248"/>
      <c r="H629" s="50"/>
      <c r="I629" s="50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#9420.00 MTS Contracting (3)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2025-08-25T17:55:39Z</cp:lastPrinted>
  <dcterms:created xsi:type="dcterms:W3CDTF">2015-06-05T18:17:20Z</dcterms:created>
  <dcterms:modified xsi:type="dcterms:W3CDTF">2025-08-25T19:12:46Z</dcterms:modified>
</cp:coreProperties>
</file>