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MM25\"/>
    </mc:Choice>
  </mc:AlternateContent>
  <xr:revisionPtr revIDLastSave="0" documentId="13_ncr:1_{A7B09F0B-52B6-4807-B630-E5D981A7A129}" xr6:coauthVersionLast="36" xr6:coauthVersionMax="36" xr10:uidLastSave="{00000000-0000-0000-0000-000000000000}"/>
  <bookViews>
    <workbookView xWindow="32760" yWindow="32760" windowWidth="22260" windowHeight="12645" tabRatio="876" firstSheet="1" activeTab="1" xr2:uid="{00000000-000D-0000-FFFF-FFFF00000000}"/>
  </bookViews>
  <sheets>
    <sheet name="Language" sheetId="7" r:id="rId1"/>
    <sheet name="FINANCIAL" sheetId="6" r:id="rId2"/>
    <sheet name="MM25 Funds Rec'd" sheetId="8" r:id="rId3"/>
    <sheet name="RECAP #9997.25" sheetId="9" r:id="rId4"/>
    <sheet name="#9997.25 PM TIME" sheetId="10" r:id="rId5"/>
    <sheet name="RECAP #9354.00" sheetId="2" r:id="rId6"/>
    <sheet name="#9354.00 Vendor A" sheetId="3" r:id="rId7"/>
    <sheet name="#9354.00 PM TIME" sheetId="4" r:id="rId8"/>
    <sheet name="#9354.00 Misc" sheetId="5" r:id="rId9"/>
    <sheet name="RECAP #9371.00" sheetId="59" r:id="rId10"/>
    <sheet name="#9371.00 Samuels Group" sheetId="60" r:id="rId11"/>
    <sheet name="#9371.00 PM TIME" sheetId="61" r:id="rId12"/>
    <sheet name="#9371.00 Misc" sheetId="62" r:id="rId13"/>
    <sheet name="#9371.00 MetroDriveway" sheetId="98" r:id="rId14"/>
    <sheet name="RECAP #9422.00" sheetId="11" r:id="rId15"/>
    <sheet name="#9422.00 McGough Construction" sheetId="12" r:id="rId16"/>
    <sheet name="#9422.00 PM TIME " sheetId="13" r:id="rId17"/>
    <sheet name="#9422.00 Misc" sheetId="14" r:id="rId18"/>
    <sheet name="RECAP #9442.00" sheetId="65" r:id="rId19"/>
    <sheet name="#9442.00 McGough Construction" sheetId="66" r:id="rId20"/>
    <sheet name="#9442.00 PM TIME" sheetId="67" r:id="rId21"/>
    <sheet name="#9442.00 Misc" sheetId="68" r:id="rId22"/>
    <sheet name="RECAP #9443.00" sheetId="69" r:id="rId23"/>
    <sheet name="#9443.00 McGough Construction" sheetId="70" r:id="rId24"/>
    <sheet name="#9443.00 PM TIME" sheetId="71" r:id="rId25"/>
    <sheet name="#9443.00 Misc" sheetId="72" r:id="rId26"/>
    <sheet name="RECAP #9444.00" sheetId="73" r:id="rId27"/>
    <sheet name="#9444.00 Samuels Group" sheetId="96" r:id="rId28"/>
    <sheet name="#9444.00 PM TIME" sheetId="75" r:id="rId29"/>
    <sheet name="#9444.00 Misc" sheetId="76" r:id="rId30"/>
    <sheet name="RECAP #9445.00" sheetId="77" r:id="rId31"/>
    <sheet name="#9445.00 Samuels Group" sheetId="78" r:id="rId32"/>
    <sheet name="#9445.00 PM TIME" sheetId="79" r:id="rId33"/>
    <sheet name="#9445.00 Misc" sheetId="80" r:id="rId34"/>
    <sheet name="RECAP #9447.00" sheetId="81" r:id="rId35"/>
    <sheet name="#9447.00 DCI Group" sheetId="82" r:id="rId36"/>
    <sheet name="#9447.00 PM TIME" sheetId="83" r:id="rId37"/>
    <sheet name="#9447.00 Misc " sheetId="84" r:id="rId38"/>
    <sheet name="#9447.00 OPN Architects" sheetId="108" r:id="rId39"/>
    <sheet name="RECAP #9448.00" sheetId="85" r:id="rId40"/>
    <sheet name="#9448.00 DCI Group" sheetId="86" r:id="rId41"/>
    <sheet name="#9448.00 PM TIME" sheetId="87" r:id="rId42"/>
    <sheet name="#9448.00 Misc " sheetId="88" r:id="rId43"/>
    <sheet name="#9448.00 OPN Architects" sheetId="107" r:id="rId44"/>
    <sheet name="RECAP #9449.00" sheetId="89" r:id="rId45"/>
    <sheet name="#9449.00 DCI Group" sheetId="90" r:id="rId46"/>
    <sheet name="#9449.00 PM TIME" sheetId="91" r:id="rId47"/>
    <sheet name="#9449.00 Misc" sheetId="92" r:id="rId48"/>
    <sheet name="#9449.00 OPN Architects" sheetId="109" r:id="rId49"/>
    <sheet name="RECAP #9451.00" sheetId="19" r:id="rId50"/>
    <sheet name="#9451.00 McGough Construction" sheetId="20" r:id="rId51"/>
    <sheet name="#9451.00 PM Time" sheetId="21" r:id="rId52"/>
    <sheet name="#9451.00 Misc" sheetId="22" r:id="rId53"/>
    <sheet name="#9451.00 IMEG Corporation" sheetId="93" r:id="rId54"/>
    <sheet name="RECAP #9452.00" sheetId="23" r:id="rId55"/>
    <sheet name="#9452.00 Innovative Engineers" sheetId="24" r:id="rId56"/>
    <sheet name="#9452.00 PM TIME " sheetId="25" r:id="rId57"/>
    <sheet name="#9452.00 Misc " sheetId="26" r:id="rId58"/>
    <sheet name="RECAP #9453.00" sheetId="15" r:id="rId59"/>
    <sheet name="#9453.00 McGough Construction" sheetId="16" r:id="rId60"/>
    <sheet name="#9453.00 PM TIME" sheetId="17" r:id="rId61"/>
    <sheet name="#9453.00 Misc" sheetId="18" r:id="rId62"/>
    <sheet name="#9453.00 GenesisArchitectural" sheetId="95" r:id="rId63"/>
    <sheet name="RECAP #9454.00" sheetId="31" r:id="rId64"/>
    <sheet name="#9454.00 Samuels Group" sheetId="32" r:id="rId65"/>
    <sheet name="#9454.00 PM TIME" sheetId="33" r:id="rId66"/>
    <sheet name="#9454.00 Misc " sheetId="34" r:id="rId67"/>
    <sheet name="#9454.00 Horizon Architecture" sheetId="63" r:id="rId68"/>
    <sheet name="RECAP #9455.00" sheetId="35" r:id="rId69"/>
    <sheet name="#9455.00 Samuels Group" sheetId="36" r:id="rId70"/>
    <sheet name="#9455.00 PM TIME " sheetId="37" r:id="rId71"/>
    <sheet name="#9455.00 Misc " sheetId="38" r:id="rId72"/>
    <sheet name="#9455.00 OPN Architects" sheetId="94" r:id="rId73"/>
    <sheet name="RECAP #9456.00" sheetId="39" r:id="rId74"/>
    <sheet name="#9456.00 Samuels Group" sheetId="40" r:id="rId75"/>
    <sheet name="#9456.00 PM TIME " sheetId="41" r:id="rId76"/>
    <sheet name="#9456.00 Misc" sheetId="42" r:id="rId77"/>
    <sheet name="RECAP #9457.00" sheetId="43" r:id="rId78"/>
    <sheet name="#9457.00 Samuels Group" sheetId="44" r:id="rId79"/>
    <sheet name="#9457.00 PM TIME" sheetId="45" r:id="rId80"/>
    <sheet name="#9457.00 Misc" sheetId="46" r:id="rId81"/>
    <sheet name="RECAP #9458.00" sheetId="47" r:id="rId82"/>
    <sheet name="#9458.00 McGough" sheetId="48" r:id="rId83"/>
    <sheet name="#9458.00 PM TIME" sheetId="49" r:id="rId84"/>
    <sheet name="#9458.00 Misc " sheetId="50" r:id="rId85"/>
    <sheet name="RECAP #9459.00" sheetId="51" r:id="rId86"/>
    <sheet name="#9459.00 McGough Construction" sheetId="52" r:id="rId87"/>
    <sheet name="#9459.00 PM TIME" sheetId="53" r:id="rId88"/>
    <sheet name="#9459.00 Misc" sheetId="54" r:id="rId89"/>
    <sheet name="#9459.00 IMEG Corporation" sheetId="64" r:id="rId90"/>
    <sheet name="RECAP #9460.00" sheetId="55" r:id="rId91"/>
    <sheet name="#9460.00 Boyd Jones" sheetId="56" r:id="rId92"/>
    <sheet name="#9460.00 PM TIME" sheetId="57" r:id="rId93"/>
    <sheet name="#9460.00 Misc" sheetId="58" r:id="rId94"/>
    <sheet name="#9460.00 Genesis Architectural" sheetId="97" r:id="rId95"/>
    <sheet name="RECAP #9462.00" sheetId="99" r:id="rId96"/>
    <sheet name="#9462.00 Vendor A" sheetId="100" r:id="rId97"/>
    <sheet name="#9462.00 PM TIME " sheetId="101" r:id="rId98"/>
    <sheet name="#9462.00 Misc " sheetId="102" r:id="rId99"/>
    <sheet name="RECAP #9463.00" sheetId="103" r:id="rId100"/>
    <sheet name="#9463.00 Vendor A " sheetId="104" r:id="rId101"/>
    <sheet name="#9463.00 PM TIME" sheetId="105" r:id="rId102"/>
    <sheet name="#9463.00 Misc" sheetId="106" r:id="rId103"/>
    <sheet name="RECAP #XXXX.XX " sheetId="27" r:id="rId104"/>
    <sheet name="#XXXX.XX Vendor A" sheetId="28" r:id="rId105"/>
    <sheet name="#XXXX.XX PM TIME" sheetId="29" r:id="rId106"/>
    <sheet name="#XXXX.XX Misc" sheetId="30" r:id="rId107"/>
  </sheets>
  <externalReferences>
    <externalReference r:id="rId108"/>
  </externalReferences>
  <definedNames>
    <definedName name="_xlnm._FilterDatabase" localSheetId="1" hidden="1">FINANCIAL!$A$13:$K$13</definedName>
    <definedName name="_xlnm.Print_Area" localSheetId="4">'#9997.25 PM TIME'!$A$1:$I$30</definedName>
    <definedName name="_xlnm.Print_Area" localSheetId="1">FINANCIAL!$A$1:$K$55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FINANCIAL!$A$1:$K$55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H27" i="24" l="1"/>
  <c r="H28" i="24"/>
  <c r="H29" i="24"/>
  <c r="H30" i="24"/>
  <c r="F31" i="24"/>
  <c r="D31" i="24"/>
  <c r="H26" i="24"/>
  <c r="H31" i="24" s="1"/>
  <c r="F13" i="89"/>
  <c r="E13" i="89"/>
  <c r="D13" i="89"/>
  <c r="H27" i="109"/>
  <c r="H28" i="109"/>
  <c r="H29" i="109"/>
  <c r="F30" i="109"/>
  <c r="H26" i="109"/>
  <c r="D30" i="109"/>
  <c r="F23" i="109"/>
  <c r="D23" i="109"/>
  <c r="H23" i="109" s="1"/>
  <c r="G10" i="109"/>
  <c r="G11" i="109" s="1"/>
  <c r="G12" i="109" s="1"/>
  <c r="G13" i="109" s="1"/>
  <c r="G14" i="109" s="1"/>
  <c r="G15" i="109" s="1"/>
  <c r="G16" i="109" s="1"/>
  <c r="G17" i="109" s="1"/>
  <c r="G18" i="109" s="1"/>
  <c r="G19" i="109" s="1"/>
  <c r="G20" i="109" s="1"/>
  <c r="G21" i="109" s="1"/>
  <c r="E9" i="109"/>
  <c r="H9" i="109" s="1"/>
  <c r="H10" i="109" s="1"/>
  <c r="H11" i="109" s="1"/>
  <c r="H12" i="109" s="1"/>
  <c r="H13" i="109" s="1"/>
  <c r="H14" i="109" s="1"/>
  <c r="H15" i="109" s="1"/>
  <c r="H16" i="109" s="1"/>
  <c r="H17" i="109" s="1"/>
  <c r="H18" i="109" s="1"/>
  <c r="H19" i="109" s="1"/>
  <c r="H20" i="109" s="1"/>
  <c r="H21" i="109" s="1"/>
  <c r="A6" i="109"/>
  <c r="D3" i="109"/>
  <c r="A3" i="109"/>
  <c r="A2" i="109"/>
  <c r="A1" i="109"/>
  <c r="F13" i="81"/>
  <c r="E13" i="81"/>
  <c r="D13" i="81"/>
  <c r="F23" i="108"/>
  <c r="D23" i="108"/>
  <c r="H23" i="108" s="1"/>
  <c r="H10" i="108"/>
  <c r="H11" i="108" s="1"/>
  <c r="H12" i="108" s="1"/>
  <c r="H13" i="108" s="1"/>
  <c r="H14" i="108" s="1"/>
  <c r="H15" i="108" s="1"/>
  <c r="H16" i="108" s="1"/>
  <c r="H17" i="108" s="1"/>
  <c r="H18" i="108" s="1"/>
  <c r="H19" i="108" s="1"/>
  <c r="H20" i="108" s="1"/>
  <c r="H21" i="108" s="1"/>
  <c r="G10" i="108"/>
  <c r="G11" i="108" s="1"/>
  <c r="G12" i="108" s="1"/>
  <c r="G13" i="108" s="1"/>
  <c r="G14" i="108" s="1"/>
  <c r="G15" i="108" s="1"/>
  <c r="G16" i="108" s="1"/>
  <c r="G17" i="108" s="1"/>
  <c r="G18" i="108" s="1"/>
  <c r="G19" i="108" s="1"/>
  <c r="G20" i="108" s="1"/>
  <c r="G21" i="108" s="1"/>
  <c r="E10" i="108"/>
  <c r="E11" i="108" s="1"/>
  <c r="E12" i="108" s="1"/>
  <c r="E13" i="108" s="1"/>
  <c r="E14" i="108" s="1"/>
  <c r="E15" i="108" s="1"/>
  <c r="E16" i="108" s="1"/>
  <c r="E17" i="108" s="1"/>
  <c r="E18" i="108" s="1"/>
  <c r="E19" i="108" s="1"/>
  <c r="E20" i="108" s="1"/>
  <c r="E21" i="108" s="1"/>
  <c r="H9" i="108"/>
  <c r="E9" i="108"/>
  <c r="A6" i="108"/>
  <c r="D3" i="108"/>
  <c r="A3" i="108"/>
  <c r="A2" i="108"/>
  <c r="A1" i="108"/>
  <c r="F13" i="85"/>
  <c r="E13" i="85"/>
  <c r="D13" i="85"/>
  <c r="F23" i="107"/>
  <c r="D23" i="107"/>
  <c r="H23" i="107" s="1"/>
  <c r="G11" i="107"/>
  <c r="G12" i="107" s="1"/>
  <c r="G13" i="107" s="1"/>
  <c r="G14" i="107" s="1"/>
  <c r="G15" i="107" s="1"/>
  <c r="G16" i="107" s="1"/>
  <c r="G17" i="107" s="1"/>
  <c r="G18" i="107" s="1"/>
  <c r="G19" i="107" s="1"/>
  <c r="G20" i="107" s="1"/>
  <c r="G21" i="107" s="1"/>
  <c r="G10" i="107"/>
  <c r="E9" i="107"/>
  <c r="E10" i="107" s="1"/>
  <c r="E11" i="107" s="1"/>
  <c r="E12" i="107" s="1"/>
  <c r="E13" i="107" s="1"/>
  <c r="E14" i="107" s="1"/>
  <c r="E15" i="107" s="1"/>
  <c r="E16" i="107" s="1"/>
  <c r="E17" i="107" s="1"/>
  <c r="E18" i="107" s="1"/>
  <c r="E19" i="107" s="1"/>
  <c r="E20" i="107" s="1"/>
  <c r="E21" i="107" s="1"/>
  <c r="A6" i="107"/>
  <c r="D3" i="107"/>
  <c r="A3" i="107"/>
  <c r="A2" i="107"/>
  <c r="A1" i="107"/>
  <c r="E10" i="109" l="1"/>
  <c r="E11" i="109" s="1"/>
  <c r="E12" i="109" s="1"/>
  <c r="E13" i="109" s="1"/>
  <c r="E14" i="109" s="1"/>
  <c r="E15" i="109" s="1"/>
  <c r="E16" i="109" s="1"/>
  <c r="E17" i="109" s="1"/>
  <c r="E18" i="109" s="1"/>
  <c r="E19" i="109" s="1"/>
  <c r="E20" i="109" s="1"/>
  <c r="E21" i="109" s="1"/>
  <c r="H30" i="109"/>
  <c r="H9" i="107"/>
  <c r="H10" i="107" s="1"/>
  <c r="H11" i="107" s="1"/>
  <c r="H12" i="107" s="1"/>
  <c r="H13" i="107" s="1"/>
  <c r="H14" i="107" s="1"/>
  <c r="H15" i="107" s="1"/>
  <c r="H16" i="107" s="1"/>
  <c r="H17" i="107" s="1"/>
  <c r="H18" i="107" s="1"/>
  <c r="H19" i="107" s="1"/>
  <c r="H20" i="107" s="1"/>
  <c r="H21" i="107" s="1"/>
  <c r="F10" i="73"/>
  <c r="E10" i="73"/>
  <c r="D10" i="73"/>
  <c r="C8" i="103" l="1"/>
  <c r="C14" i="103" s="1"/>
  <c r="C8" i="99"/>
  <c r="C14" i="99" s="1"/>
  <c r="I37" i="6"/>
  <c r="J37" i="6"/>
  <c r="H37" i="6"/>
  <c r="I36" i="6"/>
  <c r="J36" i="6"/>
  <c r="H36" i="6"/>
  <c r="A1" i="106"/>
  <c r="G22" i="106"/>
  <c r="D12" i="103" s="1"/>
  <c r="F12" i="103" s="1"/>
  <c r="H9" i="106"/>
  <c r="H10" i="106" s="1"/>
  <c r="H11" i="106" s="1"/>
  <c r="H12" i="106" s="1"/>
  <c r="H13" i="106" s="1"/>
  <c r="H14" i="106" s="1"/>
  <c r="H15" i="106" s="1"/>
  <c r="H16" i="106" s="1"/>
  <c r="H17" i="106" s="1"/>
  <c r="H18" i="106" s="1"/>
  <c r="H19" i="106" s="1"/>
  <c r="H20" i="106" s="1"/>
  <c r="A7" i="106"/>
  <c r="E3" i="106"/>
  <c r="A3" i="106"/>
  <c r="A2" i="106"/>
  <c r="G23" i="105"/>
  <c r="E23" i="105"/>
  <c r="I23" i="105" s="1"/>
  <c r="F11" i="103" s="1"/>
  <c r="H11" i="105"/>
  <c r="H12" i="105" s="1"/>
  <c r="H13" i="105" s="1"/>
  <c r="H14" i="105" s="1"/>
  <c r="H15" i="105" s="1"/>
  <c r="H16" i="105" s="1"/>
  <c r="H17" i="105" s="1"/>
  <c r="H18" i="105" s="1"/>
  <c r="H19" i="105" s="1"/>
  <c r="H20" i="105" s="1"/>
  <c r="H21" i="105" s="1"/>
  <c r="H10" i="105"/>
  <c r="F10" i="105"/>
  <c r="F11" i="105" s="1"/>
  <c r="F12" i="105" s="1"/>
  <c r="F13" i="105" s="1"/>
  <c r="F14" i="105" s="1"/>
  <c r="F15" i="105" s="1"/>
  <c r="F16" i="105" s="1"/>
  <c r="F17" i="105" s="1"/>
  <c r="F18" i="105" s="1"/>
  <c r="F19" i="105" s="1"/>
  <c r="F20" i="105" s="1"/>
  <c r="F21" i="105" s="1"/>
  <c r="F9" i="105"/>
  <c r="I9" i="105" s="1"/>
  <c r="I10" i="105" s="1"/>
  <c r="I11" i="105" s="1"/>
  <c r="I12" i="105" s="1"/>
  <c r="I13" i="105" s="1"/>
  <c r="I14" i="105" s="1"/>
  <c r="I15" i="105" s="1"/>
  <c r="I16" i="105" s="1"/>
  <c r="I17" i="105" s="1"/>
  <c r="I18" i="105" s="1"/>
  <c r="I19" i="105" s="1"/>
  <c r="I20" i="105" s="1"/>
  <c r="I21" i="105" s="1"/>
  <c r="A7" i="105"/>
  <c r="E3" i="105"/>
  <c r="A3" i="105"/>
  <c r="A2" i="105"/>
  <c r="A1" i="105"/>
  <c r="H23" i="104"/>
  <c r="F10" i="103" s="1"/>
  <c r="F23" i="104"/>
  <c r="D23" i="104"/>
  <c r="D10" i="103" s="1"/>
  <c r="D14" i="103" s="1"/>
  <c r="G11" i="104"/>
  <c r="G12" i="104" s="1"/>
  <c r="G13" i="104" s="1"/>
  <c r="G14" i="104" s="1"/>
  <c r="G15" i="104" s="1"/>
  <c r="G16" i="104" s="1"/>
  <c r="G17" i="104" s="1"/>
  <c r="G18" i="104" s="1"/>
  <c r="G19" i="104" s="1"/>
  <c r="G20" i="104" s="1"/>
  <c r="G21" i="104" s="1"/>
  <c r="G10" i="104"/>
  <c r="E10" i="104"/>
  <c r="E11" i="104" s="1"/>
  <c r="E12" i="104" s="1"/>
  <c r="E13" i="104" s="1"/>
  <c r="E14" i="104" s="1"/>
  <c r="E15" i="104" s="1"/>
  <c r="E16" i="104" s="1"/>
  <c r="E17" i="104" s="1"/>
  <c r="E18" i="104" s="1"/>
  <c r="E19" i="104" s="1"/>
  <c r="E20" i="104" s="1"/>
  <c r="E21" i="104" s="1"/>
  <c r="E9" i="104"/>
  <c r="H9" i="104" s="1"/>
  <c r="H10" i="104" s="1"/>
  <c r="H11" i="104" s="1"/>
  <c r="H12" i="104" s="1"/>
  <c r="H13" i="104" s="1"/>
  <c r="H14" i="104" s="1"/>
  <c r="H15" i="104" s="1"/>
  <c r="H16" i="104" s="1"/>
  <c r="H17" i="104" s="1"/>
  <c r="H18" i="104" s="1"/>
  <c r="H19" i="104" s="1"/>
  <c r="H20" i="104" s="1"/>
  <c r="H21" i="104" s="1"/>
  <c r="A6" i="104"/>
  <c r="D3" i="104"/>
  <c r="A3" i="104"/>
  <c r="A2" i="104"/>
  <c r="A1" i="104"/>
  <c r="E12" i="103"/>
  <c r="E11" i="103"/>
  <c r="D11" i="103"/>
  <c r="E10" i="103"/>
  <c r="E14" i="103" s="1"/>
  <c r="G22" i="102"/>
  <c r="H9" i="102"/>
  <c r="H10" i="102" s="1"/>
  <c r="H11" i="102" s="1"/>
  <c r="H12" i="102" s="1"/>
  <c r="H13" i="102" s="1"/>
  <c r="H14" i="102" s="1"/>
  <c r="H15" i="102" s="1"/>
  <c r="H16" i="102" s="1"/>
  <c r="H17" i="102" s="1"/>
  <c r="H18" i="102" s="1"/>
  <c r="H19" i="102" s="1"/>
  <c r="H20" i="102" s="1"/>
  <c r="A7" i="102"/>
  <c r="E3" i="102"/>
  <c r="A3" i="102"/>
  <c r="A2" i="102"/>
  <c r="A1" i="102"/>
  <c r="G23" i="101"/>
  <c r="E23" i="101"/>
  <c r="I23" i="101" s="1"/>
  <c r="F11" i="99" s="1"/>
  <c r="F11" i="101"/>
  <c r="F12" i="101" s="1"/>
  <c r="F13" i="101" s="1"/>
  <c r="F14" i="101" s="1"/>
  <c r="F15" i="101" s="1"/>
  <c r="F16" i="101" s="1"/>
  <c r="F17" i="101" s="1"/>
  <c r="F18" i="101" s="1"/>
  <c r="F19" i="101" s="1"/>
  <c r="F20" i="101" s="1"/>
  <c r="F21" i="101" s="1"/>
  <c r="I10" i="101"/>
  <c r="I11" i="101" s="1"/>
  <c r="I12" i="101" s="1"/>
  <c r="I13" i="101" s="1"/>
  <c r="I14" i="101" s="1"/>
  <c r="I15" i="101" s="1"/>
  <c r="I16" i="101" s="1"/>
  <c r="I17" i="101" s="1"/>
  <c r="I18" i="101" s="1"/>
  <c r="I19" i="101" s="1"/>
  <c r="I20" i="101" s="1"/>
  <c r="I21" i="101" s="1"/>
  <c r="H10" i="101"/>
  <c r="H11" i="101" s="1"/>
  <c r="H12" i="101" s="1"/>
  <c r="H13" i="101" s="1"/>
  <c r="H14" i="101" s="1"/>
  <c r="H15" i="101" s="1"/>
  <c r="H16" i="101" s="1"/>
  <c r="H17" i="101" s="1"/>
  <c r="H18" i="101" s="1"/>
  <c r="H19" i="101" s="1"/>
  <c r="H20" i="101" s="1"/>
  <c r="H21" i="101" s="1"/>
  <c r="F10" i="101"/>
  <c r="I9" i="101"/>
  <c r="F9" i="101"/>
  <c r="A7" i="101"/>
  <c r="E3" i="101"/>
  <c r="A3" i="101"/>
  <c r="A2" i="101"/>
  <c r="A1" i="101"/>
  <c r="H23" i="100"/>
  <c r="F23" i="100"/>
  <c r="D23" i="100"/>
  <c r="G10" i="100"/>
  <c r="G11" i="100" s="1"/>
  <c r="G12" i="100" s="1"/>
  <c r="G13" i="100" s="1"/>
  <c r="G14" i="100" s="1"/>
  <c r="G15" i="100" s="1"/>
  <c r="G16" i="100" s="1"/>
  <c r="G17" i="100" s="1"/>
  <c r="G18" i="100" s="1"/>
  <c r="G19" i="100" s="1"/>
  <c r="G20" i="100" s="1"/>
  <c r="G21" i="100" s="1"/>
  <c r="E10" i="100"/>
  <c r="E11" i="100" s="1"/>
  <c r="E12" i="100" s="1"/>
  <c r="E13" i="100" s="1"/>
  <c r="E14" i="100" s="1"/>
  <c r="E15" i="100" s="1"/>
  <c r="E16" i="100" s="1"/>
  <c r="E17" i="100" s="1"/>
  <c r="E18" i="100" s="1"/>
  <c r="E19" i="100" s="1"/>
  <c r="E20" i="100" s="1"/>
  <c r="E21" i="100" s="1"/>
  <c r="H9" i="100"/>
  <c r="H10" i="100" s="1"/>
  <c r="H11" i="100" s="1"/>
  <c r="H12" i="100" s="1"/>
  <c r="H13" i="100" s="1"/>
  <c r="H14" i="100" s="1"/>
  <c r="H15" i="100" s="1"/>
  <c r="H16" i="100" s="1"/>
  <c r="H17" i="100" s="1"/>
  <c r="H18" i="100" s="1"/>
  <c r="H19" i="100" s="1"/>
  <c r="H20" i="100" s="1"/>
  <c r="H21" i="100" s="1"/>
  <c r="E9" i="100"/>
  <c r="A6" i="100"/>
  <c r="D3" i="100"/>
  <c r="A3" i="100"/>
  <c r="A2" i="100"/>
  <c r="A1" i="100"/>
  <c r="E12" i="99"/>
  <c r="D12" i="99"/>
  <c r="F12" i="99" s="1"/>
  <c r="E11" i="99"/>
  <c r="D11" i="99"/>
  <c r="D14" i="99" s="1"/>
  <c r="F10" i="99"/>
  <c r="E10" i="99"/>
  <c r="E14" i="99" s="1"/>
  <c r="D10" i="99"/>
  <c r="G14" i="103" l="1"/>
  <c r="K37" i="6" s="1"/>
  <c r="F14" i="103"/>
  <c r="G14" i="99"/>
  <c r="K36" i="6" s="1"/>
  <c r="F14" i="99"/>
  <c r="F26" i="93"/>
  <c r="F27" i="52" l="1"/>
  <c r="F26" i="52"/>
  <c r="F27" i="16"/>
  <c r="F26" i="16"/>
  <c r="F27" i="20" l="1"/>
  <c r="F26" i="20"/>
  <c r="F28" i="86" l="1"/>
  <c r="D28" i="86"/>
  <c r="H27" i="86"/>
  <c r="H26" i="86"/>
  <c r="D27" i="90"/>
  <c r="H27" i="90"/>
  <c r="D26" i="90"/>
  <c r="D28" i="90" s="1"/>
  <c r="F28" i="90"/>
  <c r="F27" i="56"/>
  <c r="F28" i="56" s="1"/>
  <c r="F26" i="56"/>
  <c r="H26" i="56" s="1"/>
  <c r="D28" i="56"/>
  <c r="H27" i="56"/>
  <c r="H28" i="86" l="1"/>
  <c r="H26" i="90"/>
  <c r="H28" i="90" s="1"/>
  <c r="H28" i="56"/>
  <c r="F28" i="70"/>
  <c r="D28" i="70"/>
  <c r="H27" i="70"/>
  <c r="H26" i="70"/>
  <c r="H28" i="70"/>
  <c r="F28" i="66"/>
  <c r="D28" i="66"/>
  <c r="H27" i="66"/>
  <c r="H26" i="66"/>
  <c r="H28" i="66" s="1"/>
  <c r="O16" i="6"/>
  <c r="G21" i="10"/>
  <c r="G20" i="10"/>
  <c r="G17" i="57"/>
  <c r="G16" i="57"/>
  <c r="G17" i="53"/>
  <c r="G16" i="53"/>
  <c r="G13" i="49"/>
  <c r="G12" i="49"/>
  <c r="G13" i="45"/>
  <c r="G23" i="45" s="1"/>
  <c r="E11" i="43" s="1"/>
  <c r="E14" i="43" s="1"/>
  <c r="I32" i="6" s="1"/>
  <c r="G12" i="45"/>
  <c r="G13" i="41"/>
  <c r="G12" i="41"/>
  <c r="G13" i="37"/>
  <c r="G12" i="37"/>
  <c r="G17" i="33"/>
  <c r="G16" i="33"/>
  <c r="G15" i="17"/>
  <c r="G14" i="17"/>
  <c r="H14" i="17" s="1"/>
  <c r="H15" i="17" s="1"/>
  <c r="H16" i="17" s="1"/>
  <c r="G13" i="25"/>
  <c r="G12" i="25"/>
  <c r="G15" i="21"/>
  <c r="G14" i="21"/>
  <c r="G11" i="91"/>
  <c r="G10" i="91"/>
  <c r="G11" i="87"/>
  <c r="G10" i="87"/>
  <c r="G11" i="83"/>
  <c r="G10" i="83"/>
  <c r="G11" i="79"/>
  <c r="G10" i="79"/>
  <c r="H10" i="79" s="1"/>
  <c r="H11" i="79" s="1"/>
  <c r="H12" i="79" s="1"/>
  <c r="H13" i="79" s="1"/>
  <c r="H14" i="79" s="1"/>
  <c r="H15" i="79" s="1"/>
  <c r="H16" i="79" s="1"/>
  <c r="H17" i="79" s="1"/>
  <c r="H18" i="79" s="1"/>
  <c r="H19" i="79" s="1"/>
  <c r="H20" i="79" s="1"/>
  <c r="H21" i="79" s="1"/>
  <c r="G11" i="75"/>
  <c r="G23" i="75" s="1"/>
  <c r="G10" i="75"/>
  <c r="H10" i="75" s="1"/>
  <c r="H11" i="75" s="1"/>
  <c r="G11" i="71"/>
  <c r="G10" i="71"/>
  <c r="G11" i="67"/>
  <c r="G10" i="67"/>
  <c r="G16" i="13"/>
  <c r="G15" i="13"/>
  <c r="F27" i="32"/>
  <c r="F26" i="32"/>
  <c r="F26" i="78"/>
  <c r="H26" i="78" s="1"/>
  <c r="F27" i="36"/>
  <c r="H27" i="36" s="1"/>
  <c r="F26" i="36"/>
  <c r="E13" i="59"/>
  <c r="F23" i="98"/>
  <c r="D23" i="98"/>
  <c r="D13" i="59" s="1"/>
  <c r="H23" i="98"/>
  <c r="F13" i="59" s="1"/>
  <c r="G11" i="98"/>
  <c r="G12" i="98"/>
  <c r="G13" i="98" s="1"/>
  <c r="G14" i="98" s="1"/>
  <c r="G15" i="98"/>
  <c r="G16" i="98" s="1"/>
  <c r="G17" i="98" s="1"/>
  <c r="G18" i="98"/>
  <c r="G19" i="98" s="1"/>
  <c r="G20" i="98" s="1"/>
  <c r="G21" i="98"/>
  <c r="G10" i="98"/>
  <c r="E9" i="98"/>
  <c r="A6" i="98"/>
  <c r="D3" i="98"/>
  <c r="A3" i="98"/>
  <c r="A2" i="98"/>
  <c r="A1" i="98"/>
  <c r="H28" i="97"/>
  <c r="H29" i="97"/>
  <c r="H30" i="97"/>
  <c r="D28" i="97"/>
  <c r="D31" i="97"/>
  <c r="F31" i="97"/>
  <c r="H27" i="97"/>
  <c r="H26" i="97"/>
  <c r="F23" i="97"/>
  <c r="E13" i="55" s="1"/>
  <c r="D23" i="97"/>
  <c r="G10" i="97"/>
  <c r="G11" i="97"/>
  <c r="G12" i="97" s="1"/>
  <c r="G13" i="97"/>
  <c r="G14" i="97" s="1"/>
  <c r="G15" i="97" s="1"/>
  <c r="G16" i="97" s="1"/>
  <c r="G17" i="97" s="1"/>
  <c r="G18" i="97" s="1"/>
  <c r="G19" i="97" s="1"/>
  <c r="G20" i="97" s="1"/>
  <c r="G21" i="97" s="1"/>
  <c r="E9" i="97"/>
  <c r="H9" i="97"/>
  <c r="H10" i="97" s="1"/>
  <c r="H11" i="97" s="1"/>
  <c r="H12" i="97" s="1"/>
  <c r="H13" i="97"/>
  <c r="H14" i="97" s="1"/>
  <c r="H15" i="97" s="1"/>
  <c r="H16" i="97" s="1"/>
  <c r="H17" i="97" s="1"/>
  <c r="H18" i="97" s="1"/>
  <c r="H19" i="97" s="1"/>
  <c r="H20" i="97" s="1"/>
  <c r="H21" i="97" s="1"/>
  <c r="A6" i="97"/>
  <c r="D3" i="97"/>
  <c r="A3" i="97"/>
  <c r="A2" i="97"/>
  <c r="A1" i="97"/>
  <c r="E10" i="97"/>
  <c r="E11" i="97" s="1"/>
  <c r="E12" i="97" s="1"/>
  <c r="E13" i="97" s="1"/>
  <c r="E14" i="97" s="1"/>
  <c r="E15" i="97" s="1"/>
  <c r="E16" i="97" s="1"/>
  <c r="E17" i="97" s="1"/>
  <c r="E18" i="97" s="1"/>
  <c r="E19" i="97" s="1"/>
  <c r="E20" i="97" s="1"/>
  <c r="E21" i="97" s="1"/>
  <c r="F27" i="63"/>
  <c r="H27" i="63" s="1"/>
  <c r="F26" i="63"/>
  <c r="F28" i="96"/>
  <c r="D28" i="96"/>
  <c r="H27" i="96"/>
  <c r="H26" i="96"/>
  <c r="H28" i="96"/>
  <c r="F23" i="96"/>
  <c r="D23" i="96"/>
  <c r="G10" i="96"/>
  <c r="G11" i="96" s="1"/>
  <c r="G12" i="96" s="1"/>
  <c r="G13" i="96" s="1"/>
  <c r="G14" i="96" s="1"/>
  <c r="G15" i="96" s="1"/>
  <c r="G16" i="96" s="1"/>
  <c r="G17" i="96" s="1"/>
  <c r="G18" i="96" s="1"/>
  <c r="G19" i="96" s="1"/>
  <c r="G20" i="96" s="1"/>
  <c r="G21" i="96" s="1"/>
  <c r="E9" i="96"/>
  <c r="E10" i="96"/>
  <c r="E11" i="96" s="1"/>
  <c r="E12" i="96" s="1"/>
  <c r="E13" i="96"/>
  <c r="E14" i="96" s="1"/>
  <c r="E15" i="96" s="1"/>
  <c r="E16" i="96" s="1"/>
  <c r="E17" i="96" s="1"/>
  <c r="E18" i="96" s="1"/>
  <c r="E19" i="96" s="1"/>
  <c r="E20" i="96" s="1"/>
  <c r="E21" i="96" s="1"/>
  <c r="A6" i="96"/>
  <c r="D3" i="96"/>
  <c r="A3" i="96"/>
  <c r="A2" i="96"/>
  <c r="A1" i="96"/>
  <c r="H9" i="96"/>
  <c r="H10" i="96"/>
  <c r="H11" i="96" s="1"/>
  <c r="H12" i="96"/>
  <c r="H13" i="96" s="1"/>
  <c r="H14" i="96" s="1"/>
  <c r="H15" i="96" s="1"/>
  <c r="H16" i="96" s="1"/>
  <c r="H17" i="96" s="1"/>
  <c r="H18" i="96" s="1"/>
  <c r="H19" i="96"/>
  <c r="H20" i="96" s="1"/>
  <c r="H21" i="96" s="1"/>
  <c r="F28" i="60"/>
  <c r="D28" i="60"/>
  <c r="H27" i="60"/>
  <c r="H26" i="60"/>
  <c r="H28" i="60" s="1"/>
  <c r="H27" i="95"/>
  <c r="H28" i="95"/>
  <c r="D29" i="95"/>
  <c r="F29" i="95"/>
  <c r="F23" i="95"/>
  <c r="E13" i="15" s="1"/>
  <c r="D23" i="95"/>
  <c r="G10" i="95"/>
  <c r="G11" i="95"/>
  <c r="G12" i="95" s="1"/>
  <c r="G13" i="95" s="1"/>
  <c r="G14" i="95"/>
  <c r="G15" i="95" s="1"/>
  <c r="G16" i="95" s="1"/>
  <c r="G17" i="95" s="1"/>
  <c r="G18" i="95" s="1"/>
  <c r="G19" i="95" s="1"/>
  <c r="G20" i="95" s="1"/>
  <c r="G21" i="95" s="1"/>
  <c r="E9" i="95"/>
  <c r="E10" i="95" s="1"/>
  <c r="H9" i="95"/>
  <c r="H10" i="95" s="1"/>
  <c r="H11" i="95"/>
  <c r="H12" i="95" s="1"/>
  <c r="H13" i="95" s="1"/>
  <c r="H14" i="95"/>
  <c r="H15" i="95"/>
  <c r="H16" i="95"/>
  <c r="H17" i="95"/>
  <c r="H18" i="95" s="1"/>
  <c r="H19" i="95"/>
  <c r="H20" i="95" s="1"/>
  <c r="H21" i="95" s="1"/>
  <c r="A6" i="95"/>
  <c r="D3" i="95"/>
  <c r="A3" i="95"/>
  <c r="A2" i="95"/>
  <c r="A1" i="95"/>
  <c r="E11" i="95"/>
  <c r="E12" i="95"/>
  <c r="E13" i="95" s="1"/>
  <c r="E14" i="95" s="1"/>
  <c r="E15" i="95" s="1"/>
  <c r="E16" i="95" s="1"/>
  <c r="E17" i="95" s="1"/>
  <c r="E18" i="95" s="1"/>
  <c r="E19" i="95" s="1"/>
  <c r="E20" i="95" s="1"/>
  <c r="E21" i="95" s="1"/>
  <c r="H26" i="95"/>
  <c r="H29" i="95"/>
  <c r="E17" i="6"/>
  <c r="G17" i="6" s="1"/>
  <c r="F28" i="78"/>
  <c r="D28" i="78"/>
  <c r="H27" i="78"/>
  <c r="F28" i="12"/>
  <c r="D28" i="12"/>
  <c r="H27" i="12"/>
  <c r="H26" i="12"/>
  <c r="H28" i="12" s="1"/>
  <c r="F23" i="94"/>
  <c r="D23" i="94"/>
  <c r="D13" i="35"/>
  <c r="G10" i="94"/>
  <c r="G11" i="94" s="1"/>
  <c r="G12" i="94"/>
  <c r="G13" i="94" s="1"/>
  <c r="G14" i="94" s="1"/>
  <c r="G15" i="94" s="1"/>
  <c r="G16" i="94" s="1"/>
  <c r="G17" i="94" s="1"/>
  <c r="G18" i="94" s="1"/>
  <c r="G19" i="94" s="1"/>
  <c r="G20" i="94" s="1"/>
  <c r="G21" i="94"/>
  <c r="E9" i="94"/>
  <c r="H9" i="94" s="1"/>
  <c r="H10" i="94"/>
  <c r="H11" i="94" s="1"/>
  <c r="H12" i="94" s="1"/>
  <c r="H13" i="94" s="1"/>
  <c r="H14" i="94" s="1"/>
  <c r="H15" i="94" s="1"/>
  <c r="H16" i="94" s="1"/>
  <c r="H17" i="94" s="1"/>
  <c r="H18" i="94" s="1"/>
  <c r="H19" i="94" s="1"/>
  <c r="H20" i="94" s="1"/>
  <c r="H21" i="94" s="1"/>
  <c r="A6" i="94"/>
  <c r="D3" i="94"/>
  <c r="A3" i="94"/>
  <c r="A2" i="94"/>
  <c r="A1" i="94"/>
  <c r="A1" i="93"/>
  <c r="H27" i="93"/>
  <c r="H28" i="93"/>
  <c r="D29" i="93"/>
  <c r="H26" i="93"/>
  <c r="F29" i="93"/>
  <c r="F23" i="93"/>
  <c r="E13" i="19" s="1"/>
  <c r="D23" i="93"/>
  <c r="D13" i="19"/>
  <c r="G10" i="93"/>
  <c r="G11" i="93" s="1"/>
  <c r="G12" i="93" s="1"/>
  <c r="G13" i="93" s="1"/>
  <c r="G14" i="93" s="1"/>
  <c r="G15" i="93" s="1"/>
  <c r="G16" i="93" s="1"/>
  <c r="G17" i="93" s="1"/>
  <c r="G18" i="93" s="1"/>
  <c r="G19" i="93" s="1"/>
  <c r="G20" i="93" s="1"/>
  <c r="G21" i="93" s="1"/>
  <c r="E9" i="93"/>
  <c r="E10" i="93" s="1"/>
  <c r="E11" i="93" s="1"/>
  <c r="E12" i="93" s="1"/>
  <c r="E13" i="93" s="1"/>
  <c r="E14" i="93" s="1"/>
  <c r="E15" i="93" s="1"/>
  <c r="E16" i="93" s="1"/>
  <c r="E17" i="93" s="1"/>
  <c r="E18" i="93" s="1"/>
  <c r="E19" i="93" s="1"/>
  <c r="E20" i="93" s="1"/>
  <c r="E21" i="93" s="1"/>
  <c r="A6" i="93"/>
  <c r="D3" i="93"/>
  <c r="A3" i="93"/>
  <c r="A2" i="93"/>
  <c r="E10" i="94"/>
  <c r="E11" i="94" s="1"/>
  <c r="E12" i="94" s="1"/>
  <c r="E13" i="94" s="1"/>
  <c r="E14" i="94" s="1"/>
  <c r="E15" i="94" s="1"/>
  <c r="E16" i="94" s="1"/>
  <c r="E17" i="94" s="1"/>
  <c r="E18" i="94" s="1"/>
  <c r="E19" i="94" s="1"/>
  <c r="E20" i="94" s="1"/>
  <c r="E21" i="94" s="1"/>
  <c r="H23" i="93"/>
  <c r="F13" i="19" s="1"/>
  <c r="G23" i="6"/>
  <c r="C8" i="81" s="1"/>
  <c r="C15" i="81"/>
  <c r="G24" i="6"/>
  <c r="C8" i="85"/>
  <c r="C15" i="85" s="1"/>
  <c r="G25" i="6"/>
  <c r="C8" i="89"/>
  <c r="C15" i="89"/>
  <c r="G22" i="92"/>
  <c r="E12" i="89" s="1"/>
  <c r="H9" i="92"/>
  <c r="H10" i="92" s="1"/>
  <c r="H11" i="92" s="1"/>
  <c r="H12" i="92"/>
  <c r="H13" i="92"/>
  <c r="H14" i="92"/>
  <c r="H15" i="92"/>
  <c r="H16" i="92" s="1"/>
  <c r="H17" i="92" s="1"/>
  <c r="H18" i="92"/>
  <c r="H19" i="92" s="1"/>
  <c r="H20" i="92" s="1"/>
  <c r="A7" i="92"/>
  <c r="E3" i="92"/>
  <c r="A3" i="92"/>
  <c r="A2" i="92"/>
  <c r="A1" i="92"/>
  <c r="E23" i="91"/>
  <c r="D11" i="89"/>
  <c r="F9" i="91"/>
  <c r="I9" i="91" s="1"/>
  <c r="F10" i="91"/>
  <c r="F11" i="91"/>
  <c r="F12" i="91" s="1"/>
  <c r="F13" i="91" s="1"/>
  <c r="F14" i="91" s="1"/>
  <c r="F15" i="91" s="1"/>
  <c r="F16" i="91"/>
  <c r="F17" i="91" s="1"/>
  <c r="F18" i="91"/>
  <c r="F19" i="91"/>
  <c r="F20" i="91"/>
  <c r="F21" i="91"/>
  <c r="A7" i="91"/>
  <c r="E3" i="91"/>
  <c r="A3" i="91"/>
  <c r="A2" i="91"/>
  <c r="A1" i="91"/>
  <c r="F23" i="90"/>
  <c r="E10" i="89"/>
  <c r="D23" i="90"/>
  <c r="D10" i="89" s="1"/>
  <c r="G10" i="90"/>
  <c r="G11" i="90"/>
  <c r="G12" i="90"/>
  <c r="G13" i="90" s="1"/>
  <c r="G14" i="90"/>
  <c r="G15" i="90" s="1"/>
  <c r="G16" i="90" s="1"/>
  <c r="G17" i="90"/>
  <c r="G18" i="90" s="1"/>
  <c r="G19" i="90" s="1"/>
  <c r="G20" i="90"/>
  <c r="G21" i="90" s="1"/>
  <c r="E9" i="90"/>
  <c r="H9" i="90" s="1"/>
  <c r="H10" i="90" s="1"/>
  <c r="H11" i="90" s="1"/>
  <c r="H12" i="90" s="1"/>
  <c r="H13" i="90" s="1"/>
  <c r="H14" i="90" s="1"/>
  <c r="H15" i="90" s="1"/>
  <c r="H16" i="90" s="1"/>
  <c r="H17" i="90" s="1"/>
  <c r="H18" i="90" s="1"/>
  <c r="H19" i="90" s="1"/>
  <c r="H20" i="90" s="1"/>
  <c r="H21" i="90" s="1"/>
  <c r="A6" i="90"/>
  <c r="D3" i="90"/>
  <c r="A3" i="90"/>
  <c r="A2" i="90"/>
  <c r="A1" i="90"/>
  <c r="G22" i="88"/>
  <c r="D12" i="85" s="1"/>
  <c r="E12" i="85"/>
  <c r="F12" i="85"/>
  <c r="H9" i="88"/>
  <c r="H10" i="88"/>
  <c r="H11" i="88" s="1"/>
  <c r="H12" i="88"/>
  <c r="H13" i="88" s="1"/>
  <c r="H14" i="88" s="1"/>
  <c r="H15" i="88" s="1"/>
  <c r="H16" i="88" s="1"/>
  <c r="H17" i="88" s="1"/>
  <c r="H18" i="88"/>
  <c r="H19" i="88" s="1"/>
  <c r="H20" i="88" s="1"/>
  <c r="A7" i="88"/>
  <c r="E3" i="88"/>
  <c r="A3" i="88"/>
  <c r="A2" i="88"/>
  <c r="A1" i="88"/>
  <c r="E23" i="87"/>
  <c r="D11" i="85" s="1"/>
  <c r="H10" i="87"/>
  <c r="H11" i="87" s="1"/>
  <c r="H12" i="87" s="1"/>
  <c r="H13" i="87" s="1"/>
  <c r="H14" i="87" s="1"/>
  <c r="H15" i="87" s="1"/>
  <c r="H16" i="87" s="1"/>
  <c r="H17" i="87" s="1"/>
  <c r="H18" i="87" s="1"/>
  <c r="H19" i="87" s="1"/>
  <c r="H20" i="87" s="1"/>
  <c r="H21" i="87" s="1"/>
  <c r="F9" i="87"/>
  <c r="F10" i="87"/>
  <c r="F11" i="87" s="1"/>
  <c r="F12" i="87" s="1"/>
  <c r="F13" i="87" s="1"/>
  <c r="F14" i="87" s="1"/>
  <c r="F15" i="87" s="1"/>
  <c r="F16" i="87" s="1"/>
  <c r="F17" i="87" s="1"/>
  <c r="F18" i="87" s="1"/>
  <c r="F19" i="87" s="1"/>
  <c r="F20" i="87" s="1"/>
  <c r="F21" i="87" s="1"/>
  <c r="I9" i="87"/>
  <c r="I10" i="87" s="1"/>
  <c r="I11" i="87" s="1"/>
  <c r="I12" i="87" s="1"/>
  <c r="I13" i="87" s="1"/>
  <c r="I14" i="87" s="1"/>
  <c r="I15" i="87" s="1"/>
  <c r="I16" i="87" s="1"/>
  <c r="I17" i="87" s="1"/>
  <c r="I18" i="87" s="1"/>
  <c r="I19" i="87" s="1"/>
  <c r="I20" i="87" s="1"/>
  <c r="I21" i="87" s="1"/>
  <c r="A7" i="87"/>
  <c r="E3" i="87"/>
  <c r="A3" i="87"/>
  <c r="A2" i="87"/>
  <c r="A1" i="87"/>
  <c r="F23" i="86"/>
  <c r="E10" i="85" s="1"/>
  <c r="D23" i="86"/>
  <c r="D10" i="85" s="1"/>
  <c r="D15" i="85" s="1"/>
  <c r="H24" i="6" s="1"/>
  <c r="G10" i="86"/>
  <c r="G11" i="86" s="1"/>
  <c r="G12" i="86"/>
  <c r="G13" i="86" s="1"/>
  <c r="G14" i="86" s="1"/>
  <c r="G15" i="86" s="1"/>
  <c r="G16" i="86" s="1"/>
  <c r="G17" i="86" s="1"/>
  <c r="G18" i="86" s="1"/>
  <c r="G19" i="86" s="1"/>
  <c r="G20" i="86" s="1"/>
  <c r="G21" i="86" s="1"/>
  <c r="E9" i="86"/>
  <c r="H9" i="86" s="1"/>
  <c r="H10" i="86" s="1"/>
  <c r="H11" i="86" s="1"/>
  <c r="H12" i="86" s="1"/>
  <c r="H13" i="86" s="1"/>
  <c r="H14" i="86" s="1"/>
  <c r="H15" i="86" s="1"/>
  <c r="H16" i="86" s="1"/>
  <c r="H17" i="86" s="1"/>
  <c r="H18" i="86" s="1"/>
  <c r="H19" i="86" s="1"/>
  <c r="H20" i="86" s="1"/>
  <c r="H21" i="86" s="1"/>
  <c r="A6" i="86"/>
  <c r="D3" i="86"/>
  <c r="A3" i="86"/>
  <c r="A2" i="86"/>
  <c r="A1" i="86"/>
  <c r="G22" i="84"/>
  <c r="D12" i="81" s="1"/>
  <c r="H9" i="84"/>
  <c r="H10" i="84" s="1"/>
  <c r="H11" i="84" s="1"/>
  <c r="H12" i="84"/>
  <c r="H13" i="84"/>
  <c r="H14" i="84" s="1"/>
  <c r="H15" i="84" s="1"/>
  <c r="H16" i="84" s="1"/>
  <c r="H17" i="84" s="1"/>
  <c r="H18" i="84" s="1"/>
  <c r="H19" i="84" s="1"/>
  <c r="H20" i="84" s="1"/>
  <c r="A7" i="84"/>
  <c r="E3" i="84"/>
  <c r="A3" i="84"/>
  <c r="A2" i="84"/>
  <c r="A1" i="84"/>
  <c r="E23" i="83"/>
  <c r="F9" i="83"/>
  <c r="A7" i="83"/>
  <c r="E3" i="83"/>
  <c r="A3" i="83"/>
  <c r="A2" i="83"/>
  <c r="A1" i="83"/>
  <c r="F23" i="82"/>
  <c r="E10" i="81"/>
  <c r="D23" i="82"/>
  <c r="D10" i="81" s="1"/>
  <c r="G10" i="82"/>
  <c r="G11" i="82" s="1"/>
  <c r="G12" i="82" s="1"/>
  <c r="G13" i="82"/>
  <c r="G14" i="82" s="1"/>
  <c r="G15" i="82" s="1"/>
  <c r="G16" i="82" s="1"/>
  <c r="G17" i="82"/>
  <c r="G18" i="82" s="1"/>
  <c r="G19" i="82" s="1"/>
  <c r="G20" i="82"/>
  <c r="G21" i="82"/>
  <c r="E9" i="82"/>
  <c r="E10" i="82" s="1"/>
  <c r="E11" i="82" s="1"/>
  <c r="E12" i="82" s="1"/>
  <c r="H9" i="82"/>
  <c r="H10" i="82"/>
  <c r="H11" i="82"/>
  <c r="H12" i="82" s="1"/>
  <c r="H13" i="82" s="1"/>
  <c r="H14" i="82" s="1"/>
  <c r="H15" i="82" s="1"/>
  <c r="H16" i="82" s="1"/>
  <c r="H17" i="82" s="1"/>
  <c r="H18" i="82" s="1"/>
  <c r="H19" i="82" s="1"/>
  <c r="H20" i="82" s="1"/>
  <c r="H21" i="82" s="1"/>
  <c r="A6" i="82"/>
  <c r="D3" i="82"/>
  <c r="A3" i="82"/>
  <c r="A2" i="82"/>
  <c r="A1" i="82"/>
  <c r="I10" i="91"/>
  <c r="I11" i="91" s="1"/>
  <c r="I12" i="91" s="1"/>
  <c r="I13" i="91"/>
  <c r="I14" i="91" s="1"/>
  <c r="I15" i="91" s="1"/>
  <c r="I16" i="91" s="1"/>
  <c r="I17" i="91" s="1"/>
  <c r="I18" i="91" s="1"/>
  <c r="I19" i="91" s="1"/>
  <c r="I20" i="91" s="1"/>
  <c r="I21" i="91" s="1"/>
  <c r="D12" i="89"/>
  <c r="F12" i="89" s="1"/>
  <c r="G19" i="10"/>
  <c r="G18" i="10"/>
  <c r="G15" i="57"/>
  <c r="G14" i="57"/>
  <c r="G15" i="53"/>
  <c r="G14" i="53"/>
  <c r="G11" i="49"/>
  <c r="G10" i="49"/>
  <c r="G11" i="45"/>
  <c r="G10" i="45"/>
  <c r="H10" i="45"/>
  <c r="G11" i="41"/>
  <c r="G10" i="4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G11" i="37"/>
  <c r="G10" i="37"/>
  <c r="G15" i="33"/>
  <c r="G14" i="33"/>
  <c r="G13" i="17"/>
  <c r="G12" i="17"/>
  <c r="G11" i="25"/>
  <c r="G10" i="25"/>
  <c r="G13" i="21"/>
  <c r="G12" i="21"/>
  <c r="F28" i="48"/>
  <c r="D28" i="48"/>
  <c r="H27" i="48"/>
  <c r="H26" i="48"/>
  <c r="H28" i="48" s="1"/>
  <c r="F26" i="40"/>
  <c r="F28" i="40" s="1"/>
  <c r="H26" i="40"/>
  <c r="H28" i="40" s="1"/>
  <c r="H27" i="32"/>
  <c r="G22" i="80"/>
  <c r="H9" i="80"/>
  <c r="H10" i="80" s="1"/>
  <c r="H11" i="80" s="1"/>
  <c r="H12" i="80"/>
  <c r="H13" i="80"/>
  <c r="H14" i="80" s="1"/>
  <c r="H15" i="80" s="1"/>
  <c r="H16" i="80" s="1"/>
  <c r="H17" i="80" s="1"/>
  <c r="H18" i="80" s="1"/>
  <c r="H19" i="80" s="1"/>
  <c r="H20" i="80" s="1"/>
  <c r="A7" i="80"/>
  <c r="E3" i="80"/>
  <c r="A3" i="80"/>
  <c r="A2" i="80"/>
  <c r="A1" i="80"/>
  <c r="G23" i="79"/>
  <c r="E11" i="77"/>
  <c r="E23" i="79"/>
  <c r="D11" i="77"/>
  <c r="F9" i="79"/>
  <c r="F10" i="79" s="1"/>
  <c r="F11" i="79" s="1"/>
  <c r="I9" i="79"/>
  <c r="I10" i="79" s="1"/>
  <c r="I11" i="79" s="1"/>
  <c r="I12" i="79" s="1"/>
  <c r="I13" i="79" s="1"/>
  <c r="I14" i="79" s="1"/>
  <c r="I15" i="79" s="1"/>
  <c r="I16" i="79" s="1"/>
  <c r="I17" i="79" s="1"/>
  <c r="I18" i="79" s="1"/>
  <c r="I19" i="79" s="1"/>
  <c r="I20" i="79" s="1"/>
  <c r="I21" i="79" s="1"/>
  <c r="A7" i="79"/>
  <c r="E3" i="79"/>
  <c r="A3" i="79"/>
  <c r="A2" i="79"/>
  <c r="A1" i="79"/>
  <c r="F23" i="78"/>
  <c r="E10" i="77" s="1"/>
  <c r="D23" i="78"/>
  <c r="D10" i="77" s="1"/>
  <c r="G10" i="78"/>
  <c r="G11" i="78"/>
  <c r="G12" i="78"/>
  <c r="G13" i="78" s="1"/>
  <c r="G14" i="78" s="1"/>
  <c r="G15" i="78" s="1"/>
  <c r="G16" i="78" s="1"/>
  <c r="G17" i="78" s="1"/>
  <c r="G18" i="78" s="1"/>
  <c r="G19" i="78" s="1"/>
  <c r="G20" i="78" s="1"/>
  <c r="G21" i="78" s="1"/>
  <c r="E9" i="78"/>
  <c r="E10" i="78"/>
  <c r="E11" i="78" s="1"/>
  <c r="E12" i="78"/>
  <c r="E13" i="78"/>
  <c r="E14" i="78" s="1"/>
  <c r="E15" i="78"/>
  <c r="E16" i="78" s="1"/>
  <c r="E17" i="78" s="1"/>
  <c r="E18" i="78" s="1"/>
  <c r="E19" i="78"/>
  <c r="E20" i="78"/>
  <c r="E21" i="78" s="1"/>
  <c r="A6" i="78"/>
  <c r="D3" i="78"/>
  <c r="A3" i="78"/>
  <c r="A2" i="78"/>
  <c r="A1" i="78"/>
  <c r="G22" i="76"/>
  <c r="H9" i="76"/>
  <c r="H10" i="76"/>
  <c r="H11" i="76"/>
  <c r="H12" i="76" s="1"/>
  <c r="H13" i="76" s="1"/>
  <c r="H14" i="76"/>
  <c r="H15" i="76" s="1"/>
  <c r="H16" i="76" s="1"/>
  <c r="H17" i="76" s="1"/>
  <c r="H18" i="76" s="1"/>
  <c r="H19" i="76"/>
  <c r="H20" i="76"/>
  <c r="A7" i="76"/>
  <c r="E3" i="76"/>
  <c r="A3" i="76"/>
  <c r="A2" i="76"/>
  <c r="A1" i="76"/>
  <c r="E11" i="73"/>
  <c r="E23" i="75"/>
  <c r="H12" i="75"/>
  <c r="H13" i="75" s="1"/>
  <c r="H14" i="75" s="1"/>
  <c r="H15" i="75" s="1"/>
  <c r="H16" i="75" s="1"/>
  <c r="H17" i="75" s="1"/>
  <c r="H18" i="75" s="1"/>
  <c r="H19" i="75" s="1"/>
  <c r="H20" i="75" s="1"/>
  <c r="H21" i="75" s="1"/>
  <c r="F9" i="75"/>
  <c r="I9" i="75"/>
  <c r="I10" i="75" s="1"/>
  <c r="I11" i="75" s="1"/>
  <c r="I12" i="75" s="1"/>
  <c r="I13" i="75" s="1"/>
  <c r="I14" i="75" s="1"/>
  <c r="I15" i="75" s="1"/>
  <c r="I16" i="75" s="1"/>
  <c r="I17" i="75" s="1"/>
  <c r="I18" i="75" s="1"/>
  <c r="I19" i="75" s="1"/>
  <c r="I20" i="75" s="1"/>
  <c r="I21" i="75" s="1"/>
  <c r="A7" i="75"/>
  <c r="E3" i="75"/>
  <c r="A3" i="75"/>
  <c r="A2" i="75"/>
  <c r="A1" i="75"/>
  <c r="G22" i="72"/>
  <c r="E12" i="69"/>
  <c r="H9" i="72"/>
  <c r="H10" i="72"/>
  <c r="H11" i="72" s="1"/>
  <c r="H12" i="72" s="1"/>
  <c r="H13" i="72" s="1"/>
  <c r="H14" i="72"/>
  <c r="H15" i="72" s="1"/>
  <c r="H16" i="72" s="1"/>
  <c r="H17" i="72"/>
  <c r="H18" i="72"/>
  <c r="H19" i="72"/>
  <c r="H20" i="72" s="1"/>
  <c r="A7" i="72"/>
  <c r="E3" i="72"/>
  <c r="A3" i="72"/>
  <c r="A2" i="72"/>
  <c r="A1" i="72"/>
  <c r="E23" i="71"/>
  <c r="H10" i="71"/>
  <c r="F9" i="71"/>
  <c r="A7" i="71"/>
  <c r="E3" i="71"/>
  <c r="A3" i="71"/>
  <c r="A2" i="71"/>
  <c r="A1" i="71"/>
  <c r="F23" i="70"/>
  <c r="E10" i="69" s="1"/>
  <c r="D23" i="70"/>
  <c r="D10" i="69"/>
  <c r="G10" i="70"/>
  <c r="G11" i="70" s="1"/>
  <c r="G12" i="70"/>
  <c r="G13" i="70" s="1"/>
  <c r="G14" i="70"/>
  <c r="G15" i="70"/>
  <c r="G16" i="70" s="1"/>
  <c r="G17" i="70" s="1"/>
  <c r="G18" i="70" s="1"/>
  <c r="G19" i="70" s="1"/>
  <c r="G20" i="70" s="1"/>
  <c r="G21" i="70" s="1"/>
  <c r="E9" i="70"/>
  <c r="A6" i="70"/>
  <c r="D3" i="70"/>
  <c r="A3" i="70"/>
  <c r="A2" i="70"/>
  <c r="A1" i="70"/>
  <c r="G22" i="68"/>
  <c r="E12" i="65" s="1"/>
  <c r="H9" i="68"/>
  <c r="H10" i="68"/>
  <c r="H11" i="68"/>
  <c r="H12" i="68" s="1"/>
  <c r="H13" i="68" s="1"/>
  <c r="H14" i="68" s="1"/>
  <c r="H15" i="68" s="1"/>
  <c r="H16" i="68" s="1"/>
  <c r="H17" i="68" s="1"/>
  <c r="H18" i="68" s="1"/>
  <c r="H19" i="68" s="1"/>
  <c r="H20" i="68" s="1"/>
  <c r="A7" i="68"/>
  <c r="E3" i="68"/>
  <c r="A3" i="68"/>
  <c r="A2" i="68"/>
  <c r="A1" i="68"/>
  <c r="E23" i="67"/>
  <c r="F9" i="67"/>
  <c r="F10" i="67"/>
  <c r="F11" i="67"/>
  <c r="F12" i="67" s="1"/>
  <c r="F13" i="67" s="1"/>
  <c r="F14" i="67" s="1"/>
  <c r="F15" i="67" s="1"/>
  <c r="F16" i="67" s="1"/>
  <c r="F17" i="67" s="1"/>
  <c r="F18" i="67" s="1"/>
  <c r="F19" i="67" s="1"/>
  <c r="F20" i="67" s="1"/>
  <c r="F21" i="67" s="1"/>
  <c r="A7" i="67"/>
  <c r="E3" i="67"/>
  <c r="A3" i="67"/>
  <c r="A2" i="67"/>
  <c r="A1" i="67"/>
  <c r="F23" i="66"/>
  <c r="E10" i="65"/>
  <c r="D23" i="66"/>
  <c r="G10" i="66"/>
  <c r="G11" i="66" s="1"/>
  <c r="G12" i="66" s="1"/>
  <c r="G13" i="66"/>
  <c r="G14" i="66" s="1"/>
  <c r="G15" i="66" s="1"/>
  <c r="G16" i="66" s="1"/>
  <c r="G17" i="66" s="1"/>
  <c r="G18" i="66" s="1"/>
  <c r="G19" i="66" s="1"/>
  <c r="G20" i="66" s="1"/>
  <c r="G21" i="66" s="1"/>
  <c r="E9" i="66"/>
  <c r="A6" i="66"/>
  <c r="D3" i="66"/>
  <c r="A3" i="66"/>
  <c r="A2" i="66"/>
  <c r="A1" i="66"/>
  <c r="D11" i="65"/>
  <c r="E22" i="6"/>
  <c r="G22" i="6"/>
  <c r="C8" i="77" s="1"/>
  <c r="C14" i="77" s="1"/>
  <c r="E21" i="6"/>
  <c r="G21" i="6"/>
  <c r="C8" i="73"/>
  <c r="C14" i="73" s="1"/>
  <c r="E20" i="6"/>
  <c r="G20" i="6"/>
  <c r="C8" i="69"/>
  <c r="C14" i="69" s="1"/>
  <c r="E19" i="6"/>
  <c r="G19" i="6"/>
  <c r="C8" i="65" s="1"/>
  <c r="C14" i="65" s="1"/>
  <c r="D12" i="69"/>
  <c r="F12" i="69" s="1"/>
  <c r="D10" i="65"/>
  <c r="H9" i="78"/>
  <c r="H10" i="78"/>
  <c r="H11" i="78" s="1"/>
  <c r="H12" i="78" s="1"/>
  <c r="H13" i="78" s="1"/>
  <c r="H14" i="78" s="1"/>
  <c r="H15" i="78" s="1"/>
  <c r="H16" i="78" s="1"/>
  <c r="H17" i="78" s="1"/>
  <c r="H18" i="78" s="1"/>
  <c r="H19" i="78" s="1"/>
  <c r="H20" i="78" s="1"/>
  <c r="H21" i="78" s="1"/>
  <c r="F12" i="79"/>
  <c r="F13" i="79" s="1"/>
  <c r="F14" i="79" s="1"/>
  <c r="F15" i="79" s="1"/>
  <c r="F16" i="79" s="1"/>
  <c r="F17" i="79" s="1"/>
  <c r="F18" i="79" s="1"/>
  <c r="F19" i="79" s="1"/>
  <c r="F20" i="79" s="1"/>
  <c r="F21" i="79" s="1"/>
  <c r="F10" i="75"/>
  <c r="F11" i="75" s="1"/>
  <c r="F12" i="75" s="1"/>
  <c r="F13" i="75" s="1"/>
  <c r="F14" i="75"/>
  <c r="F15" i="75" s="1"/>
  <c r="F16" i="75" s="1"/>
  <c r="F17" i="75" s="1"/>
  <c r="F18" i="75" s="1"/>
  <c r="F19" i="75" s="1"/>
  <c r="F20" i="75" s="1"/>
  <c r="F21" i="75" s="1"/>
  <c r="D11" i="73"/>
  <c r="I23" i="79"/>
  <c r="H27" i="64"/>
  <c r="H28" i="64"/>
  <c r="D29" i="64"/>
  <c r="F29" i="64"/>
  <c r="F23" i="64"/>
  <c r="E13" i="51" s="1"/>
  <c r="D23" i="64"/>
  <c r="D13" i="51" s="1"/>
  <c r="G10" i="64"/>
  <c r="G11" i="64"/>
  <c r="G12" i="64"/>
  <c r="G13" i="64" s="1"/>
  <c r="G14" i="64" s="1"/>
  <c r="G15" i="64" s="1"/>
  <c r="G16" i="64" s="1"/>
  <c r="G17" i="64" s="1"/>
  <c r="G18" i="64" s="1"/>
  <c r="G19" i="64" s="1"/>
  <c r="G20" i="64" s="1"/>
  <c r="G21" i="64" s="1"/>
  <c r="E9" i="64"/>
  <c r="H9" i="64"/>
  <c r="H10" i="64" s="1"/>
  <c r="H11" i="64"/>
  <c r="H12" i="64" s="1"/>
  <c r="H13" i="64" s="1"/>
  <c r="H14" i="64" s="1"/>
  <c r="H15" i="64"/>
  <c r="H16" i="64"/>
  <c r="H17" i="64"/>
  <c r="H18" i="64"/>
  <c r="H19" i="64"/>
  <c r="H20" i="64" s="1"/>
  <c r="H21" i="64" s="1"/>
  <c r="A6" i="64"/>
  <c r="D3" i="64"/>
  <c r="A3" i="64"/>
  <c r="A2" i="64"/>
  <c r="A1" i="64"/>
  <c r="E10" i="64"/>
  <c r="E11" i="64"/>
  <c r="E12" i="64"/>
  <c r="E13" i="64"/>
  <c r="E14" i="64" s="1"/>
  <c r="E15" i="64"/>
  <c r="E16" i="64" s="1"/>
  <c r="E17" i="64" s="1"/>
  <c r="E18" i="64" s="1"/>
  <c r="E19" i="64" s="1"/>
  <c r="E20" i="64" s="1"/>
  <c r="E21" i="64" s="1"/>
  <c r="H26" i="64"/>
  <c r="H29" i="64" s="1"/>
  <c r="F9" i="45"/>
  <c r="F10" i="45" s="1"/>
  <c r="F11" i="45"/>
  <c r="F12" i="45" s="1"/>
  <c r="F13" i="45"/>
  <c r="F14" i="45" s="1"/>
  <c r="F15" i="45" s="1"/>
  <c r="F16" i="45" s="1"/>
  <c r="F17" i="45"/>
  <c r="F18" i="45"/>
  <c r="F19" i="45" s="1"/>
  <c r="F20" i="45" s="1"/>
  <c r="F21" i="45" s="1"/>
  <c r="E23" i="45"/>
  <c r="D11" i="43" s="1"/>
  <c r="E9" i="41"/>
  <c r="E23" i="41"/>
  <c r="D11" i="39"/>
  <c r="D28" i="40"/>
  <c r="H27" i="40"/>
  <c r="F28" i="44"/>
  <c r="D28" i="44"/>
  <c r="H27" i="44"/>
  <c r="H26" i="44"/>
  <c r="H28" i="44" s="1"/>
  <c r="H28" i="63"/>
  <c r="H29" i="63"/>
  <c r="H30" i="63"/>
  <c r="D31" i="63"/>
  <c r="D13" i="31" s="1"/>
  <c r="F31" i="63"/>
  <c r="E13" i="31" s="1"/>
  <c r="F23" i="63"/>
  <c r="H23" i="63" s="1"/>
  <c r="D23" i="63"/>
  <c r="G10" i="63"/>
  <c r="G11" i="63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E9" i="63"/>
  <c r="A6" i="63"/>
  <c r="D3" i="63"/>
  <c r="A3" i="63"/>
  <c r="A2" i="63"/>
  <c r="A1" i="63"/>
  <c r="H26" i="63"/>
  <c r="G17" i="10"/>
  <c r="G16" i="10"/>
  <c r="G13" i="57"/>
  <c r="G12" i="57"/>
  <c r="G13" i="53"/>
  <c r="G12" i="53"/>
  <c r="G13" i="33"/>
  <c r="G12" i="33"/>
  <c r="G11" i="17"/>
  <c r="G10" i="17"/>
  <c r="G11" i="21"/>
  <c r="G10" i="21"/>
  <c r="G23" i="21"/>
  <c r="G13" i="13"/>
  <c r="G12" i="13"/>
  <c r="D28" i="36"/>
  <c r="D10" i="35"/>
  <c r="H26" i="36"/>
  <c r="G22" i="62"/>
  <c r="E12" i="59" s="1"/>
  <c r="H9" i="62"/>
  <c r="H10" i="62" s="1"/>
  <c r="H11" i="62"/>
  <c r="H12" i="62" s="1"/>
  <c r="H13" i="62" s="1"/>
  <c r="H14" i="62" s="1"/>
  <c r="H15" i="62"/>
  <c r="H16" i="62"/>
  <c r="H17" i="62" s="1"/>
  <c r="H18" i="62" s="1"/>
  <c r="H19" i="62" s="1"/>
  <c r="H20" i="62"/>
  <c r="A7" i="62"/>
  <c r="E3" i="62"/>
  <c r="A3" i="62"/>
  <c r="A2" i="62"/>
  <c r="A1" i="62"/>
  <c r="G23" i="61"/>
  <c r="E11" i="59"/>
  <c r="E23" i="61"/>
  <c r="H10" i="61"/>
  <c r="H11" i="61"/>
  <c r="H12" i="61" s="1"/>
  <c r="H13" i="61"/>
  <c r="H14" i="61"/>
  <c r="H15" i="61"/>
  <c r="H16" i="61" s="1"/>
  <c r="H17" i="61" s="1"/>
  <c r="H18" i="61" s="1"/>
  <c r="H19" i="61" s="1"/>
  <c r="H20" i="61" s="1"/>
  <c r="H21" i="61" s="1"/>
  <c r="F9" i="61"/>
  <c r="F10" i="61" s="1"/>
  <c r="F11" i="61"/>
  <c r="F12" i="61" s="1"/>
  <c r="F13" i="61" s="1"/>
  <c r="F14" i="61"/>
  <c r="F15" i="61" s="1"/>
  <c r="F16" i="61" s="1"/>
  <c r="F17" i="61" s="1"/>
  <c r="F18" i="61"/>
  <c r="F19" i="61" s="1"/>
  <c r="F20" i="61" s="1"/>
  <c r="F21" i="61" s="1"/>
  <c r="I9" i="61"/>
  <c r="I10" i="61"/>
  <c r="I11" i="61" s="1"/>
  <c r="I12" i="61"/>
  <c r="I13" i="61" s="1"/>
  <c r="I14" i="61" s="1"/>
  <c r="I15" i="61" s="1"/>
  <c r="I16" i="61" s="1"/>
  <c r="I17" i="61" s="1"/>
  <c r="I18" i="61" s="1"/>
  <c r="I19" i="61" s="1"/>
  <c r="I20" i="61" s="1"/>
  <c r="I21" i="61" s="1"/>
  <c r="A7" i="61"/>
  <c r="E3" i="61"/>
  <c r="A3" i="61"/>
  <c r="A2" i="61"/>
  <c r="A1" i="61"/>
  <c r="F23" i="60"/>
  <c r="D23" i="60"/>
  <c r="G10" i="60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E9" i="60"/>
  <c r="H9" i="60" s="1"/>
  <c r="H10" i="60"/>
  <c r="H11" i="60" s="1"/>
  <c r="E10" i="60"/>
  <c r="E11" i="60"/>
  <c r="E12" i="60" s="1"/>
  <c r="E13" i="60"/>
  <c r="E14" i="60" s="1"/>
  <c r="E15" i="60" s="1"/>
  <c r="E16" i="60"/>
  <c r="E17" i="60" s="1"/>
  <c r="E18" i="60"/>
  <c r="E19" i="60"/>
  <c r="E20" i="60" s="1"/>
  <c r="E21" i="60"/>
  <c r="A6" i="60"/>
  <c r="D3" i="60"/>
  <c r="A3" i="60"/>
  <c r="A2" i="60"/>
  <c r="A1" i="60"/>
  <c r="C8" i="59"/>
  <c r="C15" i="59" s="1"/>
  <c r="D12" i="59"/>
  <c r="F12" i="59" s="1"/>
  <c r="D11" i="59"/>
  <c r="D15" i="59" s="1"/>
  <c r="G15" i="59" s="1"/>
  <c r="K17" i="6" s="1"/>
  <c r="H12" i="60"/>
  <c r="H13" i="60" s="1"/>
  <c r="H14" i="60" s="1"/>
  <c r="H15" i="60"/>
  <c r="H16" i="60" s="1"/>
  <c r="H17" i="60" s="1"/>
  <c r="H18" i="60" s="1"/>
  <c r="H19" i="60" s="1"/>
  <c r="H20" i="60" s="1"/>
  <c r="H21" i="60" s="1"/>
  <c r="D28" i="16"/>
  <c r="H26" i="16"/>
  <c r="D28" i="20"/>
  <c r="H26" i="20"/>
  <c r="E18" i="6"/>
  <c r="G18" i="6"/>
  <c r="C8" i="11"/>
  <c r="C14" i="11"/>
  <c r="G15" i="10"/>
  <c r="G14" i="10"/>
  <c r="G11" i="57"/>
  <c r="H11" i="57" s="1"/>
  <c r="H12" i="57" s="1"/>
  <c r="H13" i="57" s="1"/>
  <c r="H14" i="57" s="1"/>
  <c r="H15" i="57" s="1"/>
  <c r="H16" i="57" s="1"/>
  <c r="H17" i="57" s="1"/>
  <c r="H18" i="57" s="1"/>
  <c r="H19" i="57" s="1"/>
  <c r="H20" i="57" s="1"/>
  <c r="H21" i="57" s="1"/>
  <c r="G10" i="57"/>
  <c r="G11" i="53"/>
  <c r="H15" i="53"/>
  <c r="H16" i="53" s="1"/>
  <c r="H17" i="53" s="1"/>
  <c r="H18" i="53" s="1"/>
  <c r="H19" i="53" s="1"/>
  <c r="H20" i="53" s="1"/>
  <c r="H21" i="53" s="1"/>
  <c r="G10" i="53"/>
  <c r="G11" i="33"/>
  <c r="G10" i="33"/>
  <c r="G23" i="33" s="1"/>
  <c r="G11" i="13"/>
  <c r="G10" i="13"/>
  <c r="D28" i="52"/>
  <c r="H27" i="52"/>
  <c r="D28" i="32"/>
  <c r="G10" i="10"/>
  <c r="H10" i="10"/>
  <c r="G11" i="10"/>
  <c r="G28" i="10" s="1"/>
  <c r="E10" i="9" s="1"/>
  <c r="E12" i="9" s="1"/>
  <c r="G22" i="58"/>
  <c r="D12" i="55" s="1"/>
  <c r="E12" i="55"/>
  <c r="H9" i="58"/>
  <c r="H10" i="58" s="1"/>
  <c r="H11" i="58"/>
  <c r="H12" i="58"/>
  <c r="H13" i="58"/>
  <c r="H14" i="58" s="1"/>
  <c r="H15" i="58"/>
  <c r="H16" i="58" s="1"/>
  <c r="H17" i="58"/>
  <c r="H18" i="58"/>
  <c r="H19" i="58" s="1"/>
  <c r="H20" i="58" s="1"/>
  <c r="A7" i="58"/>
  <c r="E3" i="58"/>
  <c r="A3" i="58"/>
  <c r="A2" i="58"/>
  <c r="A1" i="58"/>
  <c r="E23" i="57"/>
  <c r="D11" i="55" s="1"/>
  <c r="H10" i="57"/>
  <c r="F9" i="57"/>
  <c r="F10" i="57"/>
  <c r="F11" i="57"/>
  <c r="F12" i="57" s="1"/>
  <c r="F13" i="57" s="1"/>
  <c r="F14" i="57" s="1"/>
  <c r="F15" i="57" s="1"/>
  <c r="F16" i="57" s="1"/>
  <c r="F17" i="57" s="1"/>
  <c r="F18" i="57" s="1"/>
  <c r="F19" i="57" s="1"/>
  <c r="F20" i="57" s="1"/>
  <c r="F21" i="57" s="1"/>
  <c r="A7" i="57"/>
  <c r="E3" i="57"/>
  <c r="A3" i="57"/>
  <c r="A2" i="57"/>
  <c r="A1" i="57"/>
  <c r="F23" i="56"/>
  <c r="E10" i="55" s="1"/>
  <c r="D23" i="56"/>
  <c r="G10" i="56"/>
  <c r="G11" i="56"/>
  <c r="G12" i="56" s="1"/>
  <c r="G13" i="56" s="1"/>
  <c r="G14" i="56" s="1"/>
  <c r="G15" i="56" s="1"/>
  <c r="G16" i="56" s="1"/>
  <c r="G17" i="56" s="1"/>
  <c r="G18" i="56" s="1"/>
  <c r="G19" i="56" s="1"/>
  <c r="G20" i="56" s="1"/>
  <c r="G21" i="56" s="1"/>
  <c r="E9" i="56"/>
  <c r="A6" i="56"/>
  <c r="D3" i="56"/>
  <c r="A3" i="56"/>
  <c r="A2" i="56"/>
  <c r="A1" i="56"/>
  <c r="G22" i="54"/>
  <c r="E12" i="51"/>
  <c r="F12" i="51" s="1"/>
  <c r="H9" i="54"/>
  <c r="H10" i="54"/>
  <c r="H11" i="54" s="1"/>
  <c r="H12" i="54" s="1"/>
  <c r="H13" i="54" s="1"/>
  <c r="H14" i="54" s="1"/>
  <c r="H15" i="54" s="1"/>
  <c r="H16" i="54" s="1"/>
  <c r="H17" i="54" s="1"/>
  <c r="H18" i="54" s="1"/>
  <c r="H19" i="54" s="1"/>
  <c r="H20" i="54" s="1"/>
  <c r="A7" i="54"/>
  <c r="E3" i="54"/>
  <c r="A3" i="54"/>
  <c r="A2" i="54"/>
  <c r="A1" i="54"/>
  <c r="E23" i="53"/>
  <c r="D11" i="51"/>
  <c r="H10" i="53"/>
  <c r="H11" i="53" s="1"/>
  <c r="H12" i="53" s="1"/>
  <c r="H13" i="53" s="1"/>
  <c r="H14" i="53" s="1"/>
  <c r="F9" i="53"/>
  <c r="F10" i="53"/>
  <c r="F11" i="53"/>
  <c r="F12" i="53" s="1"/>
  <c r="F13" i="53" s="1"/>
  <c r="F14" i="53" s="1"/>
  <c r="F15" i="53" s="1"/>
  <c r="F16" i="53" s="1"/>
  <c r="F17" i="53"/>
  <c r="F18" i="53" s="1"/>
  <c r="F19" i="53" s="1"/>
  <c r="F20" i="53"/>
  <c r="F21" i="53" s="1"/>
  <c r="A7" i="53"/>
  <c r="E3" i="53"/>
  <c r="A3" i="53"/>
  <c r="A2" i="53"/>
  <c r="A1" i="53"/>
  <c r="F23" i="52"/>
  <c r="D23" i="52"/>
  <c r="D10" i="51"/>
  <c r="G10" i="52"/>
  <c r="G11" i="52" s="1"/>
  <c r="G12" i="52" s="1"/>
  <c r="G13" i="52" s="1"/>
  <c r="G14" i="52" s="1"/>
  <c r="G15" i="52" s="1"/>
  <c r="G16" i="52" s="1"/>
  <c r="G17" i="52" s="1"/>
  <c r="G18" i="52" s="1"/>
  <c r="G19" i="52" s="1"/>
  <c r="G20" i="52" s="1"/>
  <c r="G21" i="52" s="1"/>
  <c r="E9" i="52"/>
  <c r="E10" i="52"/>
  <c r="E11" i="52"/>
  <c r="E12" i="52" s="1"/>
  <c r="E13" i="52" s="1"/>
  <c r="E14" i="52" s="1"/>
  <c r="E15" i="52" s="1"/>
  <c r="E16" i="52" s="1"/>
  <c r="E17" i="52" s="1"/>
  <c r="E18" i="52" s="1"/>
  <c r="E19" i="52" s="1"/>
  <c r="E20" i="52" s="1"/>
  <c r="E21" i="52" s="1"/>
  <c r="A6" i="52"/>
  <c r="D3" i="52"/>
  <c r="A3" i="52"/>
  <c r="A2" i="52"/>
  <c r="A1" i="52"/>
  <c r="G22" i="50"/>
  <c r="H9" i="50"/>
  <c r="H10" i="50" s="1"/>
  <c r="H11" i="50"/>
  <c r="H12" i="50" s="1"/>
  <c r="H13" i="50" s="1"/>
  <c r="H14" i="50" s="1"/>
  <c r="H15" i="50" s="1"/>
  <c r="H16" i="50" s="1"/>
  <c r="H17" i="50" s="1"/>
  <c r="H18" i="50" s="1"/>
  <c r="H19" i="50" s="1"/>
  <c r="H20" i="50" s="1"/>
  <c r="A7" i="50"/>
  <c r="E3" i="50"/>
  <c r="A3" i="50"/>
  <c r="A2" i="50"/>
  <c r="A1" i="50"/>
  <c r="G23" i="49"/>
  <c r="E11" i="47" s="1"/>
  <c r="E23" i="49"/>
  <c r="D11" i="47" s="1"/>
  <c r="H10" i="49"/>
  <c r="H11" i="49"/>
  <c r="H12" i="49" s="1"/>
  <c r="H13" i="49" s="1"/>
  <c r="H14" i="49" s="1"/>
  <c r="H15" i="49" s="1"/>
  <c r="H16" i="49" s="1"/>
  <c r="H17" i="49" s="1"/>
  <c r="H18" i="49" s="1"/>
  <c r="H19" i="49" s="1"/>
  <c r="H20" i="49" s="1"/>
  <c r="H21" i="49" s="1"/>
  <c r="F9" i="49"/>
  <c r="I9" i="49" s="1"/>
  <c r="I10" i="49" s="1"/>
  <c r="I11" i="49" s="1"/>
  <c r="I12" i="49" s="1"/>
  <c r="I13" i="49" s="1"/>
  <c r="I14" i="49" s="1"/>
  <c r="I15" i="49" s="1"/>
  <c r="F10" i="49"/>
  <c r="F11" i="49"/>
  <c r="F12" i="49" s="1"/>
  <c r="F13" i="49" s="1"/>
  <c r="F14" i="49" s="1"/>
  <c r="F15" i="49" s="1"/>
  <c r="F16" i="49" s="1"/>
  <c r="F17" i="49" s="1"/>
  <c r="F18" i="49" s="1"/>
  <c r="F19" i="49" s="1"/>
  <c r="F20" i="49" s="1"/>
  <c r="F21" i="49" s="1"/>
  <c r="A7" i="49"/>
  <c r="E3" i="49"/>
  <c r="A3" i="49"/>
  <c r="A2" i="49"/>
  <c r="A1" i="49"/>
  <c r="F23" i="48"/>
  <c r="E10" i="47" s="1"/>
  <c r="F10" i="47"/>
  <c r="D23" i="48"/>
  <c r="H23" i="48" s="1"/>
  <c r="D10" i="47"/>
  <c r="G10" i="48"/>
  <c r="G11" i="48"/>
  <c r="G12" i="48" s="1"/>
  <c r="G13" i="48" s="1"/>
  <c r="G14" i="48" s="1"/>
  <c r="G15" i="48" s="1"/>
  <c r="G16" i="48" s="1"/>
  <c r="G17" i="48" s="1"/>
  <c r="G18" i="48"/>
  <c r="G19" i="48" s="1"/>
  <c r="G20" i="48"/>
  <c r="G21" i="48" s="1"/>
  <c r="E9" i="48"/>
  <c r="A6" i="48"/>
  <c r="D3" i="48"/>
  <c r="A3" i="48"/>
  <c r="A2" i="48"/>
  <c r="A1" i="48"/>
  <c r="G22" i="46"/>
  <c r="E12" i="43" s="1"/>
  <c r="H9" i="46"/>
  <c r="H10" i="46" s="1"/>
  <c r="H11" i="46" s="1"/>
  <c r="H12" i="46" s="1"/>
  <c r="H13" i="46" s="1"/>
  <c r="H14" i="46" s="1"/>
  <c r="H15" i="46" s="1"/>
  <c r="H16" i="46" s="1"/>
  <c r="H17" i="46" s="1"/>
  <c r="H18" i="46" s="1"/>
  <c r="H19" i="46"/>
  <c r="H20" i="46" s="1"/>
  <c r="A7" i="46"/>
  <c r="E3" i="46"/>
  <c r="A3" i="46"/>
  <c r="A2" i="46"/>
  <c r="A1" i="46"/>
  <c r="A7" i="45"/>
  <c r="E3" i="45"/>
  <c r="A3" i="45"/>
  <c r="A2" i="45"/>
  <c r="A1" i="45"/>
  <c r="F23" i="44"/>
  <c r="E10" i="43" s="1"/>
  <c r="D23" i="44"/>
  <c r="G10" i="44"/>
  <c r="G11" i="44"/>
  <c r="G12" i="44"/>
  <c r="G13" i="44" s="1"/>
  <c r="G14" i="44" s="1"/>
  <c r="G15" i="44"/>
  <c r="G16" i="44" s="1"/>
  <c r="G17" i="44" s="1"/>
  <c r="G18" i="44" s="1"/>
  <c r="G19" i="44" s="1"/>
  <c r="G20" i="44" s="1"/>
  <c r="G21" i="44"/>
  <c r="E9" i="44"/>
  <c r="E10" i="44"/>
  <c r="E11" i="44" s="1"/>
  <c r="E12" i="44" s="1"/>
  <c r="E13" i="44" s="1"/>
  <c r="E14" i="44" s="1"/>
  <c r="E15" i="44" s="1"/>
  <c r="E16" i="44"/>
  <c r="E17" i="44" s="1"/>
  <c r="E18" i="44" s="1"/>
  <c r="E19" i="44" s="1"/>
  <c r="E20" i="44" s="1"/>
  <c r="E21" i="44" s="1"/>
  <c r="A6" i="44"/>
  <c r="D3" i="44"/>
  <c r="A3" i="44"/>
  <c r="A2" i="44"/>
  <c r="A1" i="44"/>
  <c r="G22" i="42"/>
  <c r="E12" i="39" s="1"/>
  <c r="H9" i="42"/>
  <c r="H10" i="42" s="1"/>
  <c r="H11" i="42" s="1"/>
  <c r="H12" i="42" s="1"/>
  <c r="H13" i="42"/>
  <c r="H14" i="42" s="1"/>
  <c r="H15" i="42"/>
  <c r="H16" i="42"/>
  <c r="H17" i="42" s="1"/>
  <c r="H18" i="42"/>
  <c r="H19" i="42" s="1"/>
  <c r="H20" i="42" s="1"/>
  <c r="A7" i="42"/>
  <c r="E3" i="42"/>
  <c r="A3" i="42"/>
  <c r="A2" i="42"/>
  <c r="A1" i="42"/>
  <c r="F9" i="41"/>
  <c r="A7" i="41"/>
  <c r="E3" i="41"/>
  <c r="A3" i="41"/>
  <c r="A2" i="41"/>
  <c r="A1" i="41"/>
  <c r="F23" i="40"/>
  <c r="E10" i="39" s="1"/>
  <c r="D23" i="40"/>
  <c r="G10" i="40"/>
  <c r="G11" i="40" s="1"/>
  <c r="G12" i="40"/>
  <c r="G13" i="40"/>
  <c r="G14" i="40"/>
  <c r="G15" i="40" s="1"/>
  <c r="G16" i="40"/>
  <c r="G17" i="40" s="1"/>
  <c r="G18" i="40"/>
  <c r="G19" i="40"/>
  <c r="G20" i="40"/>
  <c r="G21" i="40" s="1"/>
  <c r="E9" i="40"/>
  <c r="A6" i="40"/>
  <c r="D3" i="40"/>
  <c r="A3" i="40"/>
  <c r="A2" i="40"/>
  <c r="A1" i="40"/>
  <c r="G22" i="38"/>
  <c r="D12" i="35"/>
  <c r="F12" i="35" s="1"/>
  <c r="H9" i="38"/>
  <c r="H10" i="38"/>
  <c r="H11" i="38" s="1"/>
  <c r="H12" i="38" s="1"/>
  <c r="H13" i="38"/>
  <c r="H14" i="38" s="1"/>
  <c r="H15" i="38"/>
  <c r="H16" i="38" s="1"/>
  <c r="H17" i="38" s="1"/>
  <c r="H18" i="38" s="1"/>
  <c r="H19" i="38" s="1"/>
  <c r="H20" i="38"/>
  <c r="A7" i="38"/>
  <c r="E3" i="38"/>
  <c r="A3" i="38"/>
  <c r="A2" i="38"/>
  <c r="A1" i="38"/>
  <c r="E23" i="37"/>
  <c r="H10" i="37"/>
  <c r="F9" i="37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I9" i="37"/>
  <c r="I10" i="37"/>
  <c r="I11" i="37" s="1"/>
  <c r="I12" i="37" s="1"/>
  <c r="I13" i="37" s="1"/>
  <c r="I14" i="37" s="1"/>
  <c r="I15" i="37"/>
  <c r="I16" i="37" s="1"/>
  <c r="I17" i="37" s="1"/>
  <c r="I18" i="37" s="1"/>
  <c r="I19" i="37" s="1"/>
  <c r="I20" i="37" s="1"/>
  <c r="I21" i="37" s="1"/>
  <c r="A7" i="37"/>
  <c r="E3" i="37"/>
  <c r="A3" i="37"/>
  <c r="A2" i="37"/>
  <c r="A1" i="37"/>
  <c r="F23" i="36"/>
  <c r="D23" i="36"/>
  <c r="G10" i="36"/>
  <c r="G11" i="36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E9" i="36"/>
  <c r="A6" i="36"/>
  <c r="D3" i="36"/>
  <c r="A3" i="36"/>
  <c r="A2" i="36"/>
  <c r="A1" i="36"/>
  <c r="G22" i="34"/>
  <c r="D12" i="31" s="1"/>
  <c r="H9" i="34"/>
  <c r="H10" i="34" s="1"/>
  <c r="H11" i="34" s="1"/>
  <c r="H12" i="34" s="1"/>
  <c r="H13" i="34" s="1"/>
  <c r="H14" i="34" s="1"/>
  <c r="H15" i="34" s="1"/>
  <c r="H16" i="34" s="1"/>
  <c r="H17" i="34" s="1"/>
  <c r="H18" i="34" s="1"/>
  <c r="H19" i="34" s="1"/>
  <c r="H20" i="34" s="1"/>
  <c r="A7" i="34"/>
  <c r="E3" i="34"/>
  <c r="A3" i="34"/>
  <c r="A2" i="34"/>
  <c r="A1" i="34"/>
  <c r="E23" i="33"/>
  <c r="H10" i="33"/>
  <c r="H11" i="33" s="1"/>
  <c r="H12" i="33"/>
  <c r="H13" i="33" s="1"/>
  <c r="H14" i="33"/>
  <c r="H15" i="33" s="1"/>
  <c r="H16" i="33" s="1"/>
  <c r="H17" i="33" s="1"/>
  <c r="H18" i="33" s="1"/>
  <c r="H19" i="33" s="1"/>
  <c r="H20" i="33" s="1"/>
  <c r="H21" i="33" s="1"/>
  <c r="F9" i="33"/>
  <c r="A7" i="33"/>
  <c r="E3" i="33"/>
  <c r="A3" i="33"/>
  <c r="A2" i="33"/>
  <c r="A1" i="33"/>
  <c r="F23" i="32"/>
  <c r="D23" i="32"/>
  <c r="D10" i="31"/>
  <c r="G10" i="32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E9" i="32"/>
  <c r="H9" i="32" s="1"/>
  <c r="E10" i="32"/>
  <c r="E11" i="32"/>
  <c r="E12" i="32"/>
  <c r="E13" i="32" s="1"/>
  <c r="E14" i="32" s="1"/>
  <c r="E15" i="32" s="1"/>
  <c r="E16" i="32"/>
  <c r="E17" i="32" s="1"/>
  <c r="E18" i="32" s="1"/>
  <c r="E19" i="32" s="1"/>
  <c r="E20" i="32"/>
  <c r="E21" i="32"/>
  <c r="A6" i="32"/>
  <c r="D3" i="32"/>
  <c r="A3" i="32"/>
  <c r="A2" i="32"/>
  <c r="A1" i="32"/>
  <c r="G22" i="30"/>
  <c r="E12" i="27" s="1"/>
  <c r="D12" i="27"/>
  <c r="H9" i="30"/>
  <c r="H10" i="30" s="1"/>
  <c r="H11" i="30" s="1"/>
  <c r="H12" i="30"/>
  <c r="H13" i="30"/>
  <c r="H14" i="30"/>
  <c r="H15" i="30"/>
  <c r="H16" i="30" s="1"/>
  <c r="H17" i="30"/>
  <c r="H18" i="30"/>
  <c r="H19" i="30" s="1"/>
  <c r="H20" i="30" s="1"/>
  <c r="A7" i="30"/>
  <c r="E3" i="30"/>
  <c r="A3" i="30"/>
  <c r="A2" i="30"/>
  <c r="A1" i="30"/>
  <c r="G23" i="29"/>
  <c r="E11" i="27"/>
  <c r="E23" i="29"/>
  <c r="D11" i="27"/>
  <c r="H10" i="29"/>
  <c r="H11" i="29" s="1"/>
  <c r="H12" i="29"/>
  <c r="H13" i="29" s="1"/>
  <c r="H14" i="29" s="1"/>
  <c r="H15" i="29" s="1"/>
  <c r="H16" i="29" s="1"/>
  <c r="H17" i="29" s="1"/>
  <c r="H18" i="29" s="1"/>
  <c r="H19" i="29" s="1"/>
  <c r="H20" i="29" s="1"/>
  <c r="H21" i="29" s="1"/>
  <c r="F9" i="29"/>
  <c r="I9" i="29" s="1"/>
  <c r="I10" i="29" s="1"/>
  <c r="I11" i="29" s="1"/>
  <c r="I12" i="29" s="1"/>
  <c r="I13" i="29" s="1"/>
  <c r="I14" i="29" s="1"/>
  <c r="I15" i="29" s="1"/>
  <c r="I16" i="29" s="1"/>
  <c r="I17" i="29" s="1"/>
  <c r="I18" i="29" s="1"/>
  <c r="I19" i="29" s="1"/>
  <c r="I20" i="29" s="1"/>
  <c r="I21" i="29" s="1"/>
  <c r="F10" i="29"/>
  <c r="F11" i="29" s="1"/>
  <c r="F12" i="29"/>
  <c r="F13" i="29" s="1"/>
  <c r="F14" i="29"/>
  <c r="F15" i="29" s="1"/>
  <c r="F16" i="29" s="1"/>
  <c r="F17" i="29" s="1"/>
  <c r="F18" i="29" s="1"/>
  <c r="F19" i="29" s="1"/>
  <c r="F20" i="29" s="1"/>
  <c r="F21" i="29" s="1"/>
  <c r="A7" i="29"/>
  <c r="E3" i="29"/>
  <c r="A3" i="29"/>
  <c r="A2" i="29"/>
  <c r="A1" i="29"/>
  <c r="F23" i="28"/>
  <c r="E10" i="27"/>
  <c r="D23" i="28"/>
  <c r="H23" i="28" s="1"/>
  <c r="F10" i="27" s="1"/>
  <c r="G10" i="28"/>
  <c r="G11" i="28" s="1"/>
  <c r="G12" i="28" s="1"/>
  <c r="G13" i="28"/>
  <c r="G14" i="28" s="1"/>
  <c r="G15" i="28"/>
  <c r="G16" i="28" s="1"/>
  <c r="G17" i="28" s="1"/>
  <c r="G18" i="28" s="1"/>
  <c r="G19" i="28" s="1"/>
  <c r="G20" i="28" s="1"/>
  <c r="G21" i="28" s="1"/>
  <c r="E9" i="28"/>
  <c r="E10" i="28"/>
  <c r="E11" i="28" s="1"/>
  <c r="E12" i="28"/>
  <c r="E13" i="28" s="1"/>
  <c r="E14" i="28" s="1"/>
  <c r="E15" i="28" s="1"/>
  <c r="E16" i="28" s="1"/>
  <c r="E17" i="28"/>
  <c r="E18" i="28"/>
  <c r="E19" i="28" s="1"/>
  <c r="E20" i="28"/>
  <c r="E21" i="28" s="1"/>
  <c r="A6" i="28"/>
  <c r="D3" i="28"/>
  <c r="A3" i="28"/>
  <c r="A2" i="28"/>
  <c r="A1" i="28"/>
  <c r="C14" i="27"/>
  <c r="G22" i="26"/>
  <c r="E12" i="23" s="1"/>
  <c r="D12" i="23"/>
  <c r="F12" i="23" s="1"/>
  <c r="H9" i="26"/>
  <c r="H10" i="26"/>
  <c r="H11" i="26"/>
  <c r="H12" i="26" s="1"/>
  <c r="H13" i="26" s="1"/>
  <c r="H14" i="26" s="1"/>
  <c r="H15" i="26" s="1"/>
  <c r="H16" i="26" s="1"/>
  <c r="H17" i="26" s="1"/>
  <c r="H18" i="26" s="1"/>
  <c r="H19" i="26" s="1"/>
  <c r="H20" i="26" s="1"/>
  <c r="A7" i="26"/>
  <c r="E3" i="26"/>
  <c r="A3" i="26"/>
  <c r="A2" i="26"/>
  <c r="A1" i="26"/>
  <c r="E23" i="25"/>
  <c r="D11" i="23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I9" i="25"/>
  <c r="I10" i="25" s="1"/>
  <c r="I11" i="25" s="1"/>
  <c r="I12" i="25" s="1"/>
  <c r="I13" i="25" s="1"/>
  <c r="I14" i="25" s="1"/>
  <c r="I15" i="25" s="1"/>
  <c r="I16" i="25" s="1"/>
  <c r="I17" i="25" s="1"/>
  <c r="I18" i="25" s="1"/>
  <c r="I19" i="25" s="1"/>
  <c r="I20" i="25" s="1"/>
  <c r="I21" i="25" s="1"/>
  <c r="A7" i="25"/>
  <c r="E3" i="25"/>
  <c r="A3" i="25"/>
  <c r="A2" i="25"/>
  <c r="A1" i="25"/>
  <c r="F23" i="24"/>
  <c r="E10" i="23"/>
  <c r="D23" i="24"/>
  <c r="H23" i="24" s="1"/>
  <c r="F10" i="23" s="1"/>
  <c r="G10" i="24"/>
  <c r="G11" i="24"/>
  <c r="G12" i="24"/>
  <c r="G13" i="24" s="1"/>
  <c r="G14" i="24" s="1"/>
  <c r="G15" i="24" s="1"/>
  <c r="G16" i="24" s="1"/>
  <c r="G17" i="24" s="1"/>
  <c r="G18" i="24" s="1"/>
  <c r="G19" i="24" s="1"/>
  <c r="G20" i="24" s="1"/>
  <c r="G21" i="24" s="1"/>
  <c r="E9" i="24"/>
  <c r="H9" i="24" s="1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A6" i="24"/>
  <c r="D3" i="24"/>
  <c r="A3" i="24"/>
  <c r="A2" i="24"/>
  <c r="A1" i="24"/>
  <c r="G22" i="22"/>
  <c r="D12" i="19" s="1"/>
  <c r="E12" i="19"/>
  <c r="F12" i="19" s="1"/>
  <c r="H9" i="22"/>
  <c r="H10" i="22"/>
  <c r="H11" i="22"/>
  <c r="H12" i="22" s="1"/>
  <c r="H13" i="22"/>
  <c r="H14" i="22" s="1"/>
  <c r="H15" i="22" s="1"/>
  <c r="H16" i="22"/>
  <c r="H17" i="22" s="1"/>
  <c r="H18" i="22" s="1"/>
  <c r="H19" i="22" s="1"/>
  <c r="H20" i="22" s="1"/>
  <c r="A7" i="22"/>
  <c r="E3" i="22"/>
  <c r="A3" i="22"/>
  <c r="A2" i="22"/>
  <c r="A1" i="22"/>
  <c r="E23" i="21"/>
  <c r="D11" i="19"/>
  <c r="H10" i="21"/>
  <c r="H11" i="21" s="1"/>
  <c r="H12" i="21"/>
  <c r="F9" i="21"/>
  <c r="A7" i="21"/>
  <c r="E3" i="21"/>
  <c r="A3" i="21"/>
  <c r="A2" i="21"/>
  <c r="A1" i="21"/>
  <c r="F23" i="20"/>
  <c r="E10" i="19" s="1"/>
  <c r="D23" i="20"/>
  <c r="D10" i="19"/>
  <c r="D15" i="19" s="1"/>
  <c r="H26" i="6" s="1"/>
  <c r="G10" i="20"/>
  <c r="G11" i="20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E9" i="20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A6" i="20"/>
  <c r="D3" i="20"/>
  <c r="A3" i="20"/>
  <c r="A2" i="20"/>
  <c r="A1" i="20"/>
  <c r="G22" i="18"/>
  <c r="E12" i="15" s="1"/>
  <c r="D12" i="15"/>
  <c r="H9" i="18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A7" i="18"/>
  <c r="E3" i="18"/>
  <c r="A3" i="18"/>
  <c r="A2" i="18"/>
  <c r="A1" i="18"/>
  <c r="E23" i="17"/>
  <c r="D11" i="15"/>
  <c r="H10" i="17"/>
  <c r="H11" i="17"/>
  <c r="H12" i="17" s="1"/>
  <c r="H13" i="17" s="1"/>
  <c r="H17" i="17"/>
  <c r="H18" i="17" s="1"/>
  <c r="H19" i="17" s="1"/>
  <c r="H20" i="17" s="1"/>
  <c r="H21" i="17" s="1"/>
  <c r="F9" i="17"/>
  <c r="I9" i="17" s="1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A7" i="17"/>
  <c r="E3" i="17"/>
  <c r="A3" i="17"/>
  <c r="A2" i="17"/>
  <c r="A1" i="17"/>
  <c r="F23" i="16"/>
  <c r="E10" i="15" s="1"/>
  <c r="D23" i="16"/>
  <c r="G10" i="16"/>
  <c r="G11" i="16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6" i="16"/>
  <c r="D3" i="16"/>
  <c r="A3" i="16"/>
  <c r="A2" i="16"/>
  <c r="A1" i="16"/>
  <c r="H23" i="56"/>
  <c r="F10" i="55" s="1"/>
  <c r="D12" i="51"/>
  <c r="D10" i="55"/>
  <c r="F12" i="15"/>
  <c r="D12" i="43"/>
  <c r="F12" i="43"/>
  <c r="E12" i="35"/>
  <c r="H23" i="36"/>
  <c r="H9" i="44"/>
  <c r="H10" i="44" s="1"/>
  <c r="H11" i="44" s="1"/>
  <c r="H12" i="44" s="1"/>
  <c r="H13" i="44" s="1"/>
  <c r="H14" i="44" s="1"/>
  <c r="H15" i="44" s="1"/>
  <c r="H16" i="44" s="1"/>
  <c r="H17" i="44" s="1"/>
  <c r="H18" i="44" s="1"/>
  <c r="H19" i="44"/>
  <c r="H20" i="44" s="1"/>
  <c r="H21" i="44" s="1"/>
  <c r="H9" i="28"/>
  <c r="H10" i="28" s="1"/>
  <c r="H11" i="28" s="1"/>
  <c r="H12" i="28" s="1"/>
  <c r="H13" i="28" s="1"/>
  <c r="H14" i="28" s="1"/>
  <c r="H15" i="28" s="1"/>
  <c r="H16" i="28" s="1"/>
  <c r="H17" i="28" s="1"/>
  <c r="H18" i="28" s="1"/>
  <c r="H19" i="28" s="1"/>
  <c r="H20" i="28" s="1"/>
  <c r="H21" i="28" s="1"/>
  <c r="I9" i="45"/>
  <c r="I9" i="53"/>
  <c r="I10" i="53"/>
  <c r="D11" i="31"/>
  <c r="I16" i="49"/>
  <c r="I17" i="49" s="1"/>
  <c r="I18" i="49" s="1"/>
  <c r="I19" i="49" s="1"/>
  <c r="I20" i="49" s="1"/>
  <c r="I21" i="49" s="1"/>
  <c r="H9" i="52"/>
  <c r="H10" i="52" s="1"/>
  <c r="H11" i="52" s="1"/>
  <c r="H12" i="52" s="1"/>
  <c r="H13" i="52" s="1"/>
  <c r="H14" i="52" s="1"/>
  <c r="H15" i="52" s="1"/>
  <c r="H16" i="52" s="1"/>
  <c r="H17" i="52" s="1"/>
  <c r="H18" i="52" s="1"/>
  <c r="H19" i="52" s="1"/>
  <c r="H20" i="52" s="1"/>
  <c r="H21" i="52" s="1"/>
  <c r="E10" i="16"/>
  <c r="E11" i="16" s="1"/>
  <c r="E12" i="16"/>
  <c r="E13" i="16" s="1"/>
  <c r="E14" i="16"/>
  <c r="E15" i="16"/>
  <c r="E16" i="16"/>
  <c r="E17" i="16"/>
  <c r="E18" i="16"/>
  <c r="E19" i="16" s="1"/>
  <c r="E20" i="16" s="1"/>
  <c r="E21" i="16" s="1"/>
  <c r="E10" i="20"/>
  <c r="E11" i="20" s="1"/>
  <c r="E12" i="20"/>
  <c r="E13" i="20" s="1"/>
  <c r="E14" i="20"/>
  <c r="E15" i="20"/>
  <c r="E16" i="20"/>
  <c r="E17" i="20" s="1"/>
  <c r="E18" i="20" s="1"/>
  <c r="E19" i="20" s="1"/>
  <c r="E20" i="20" s="1"/>
  <c r="E21" i="20" s="1"/>
  <c r="H10" i="32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I23" i="29"/>
  <c r="F11" i="27" s="1"/>
  <c r="I9" i="57"/>
  <c r="I10" i="57"/>
  <c r="I11" i="57"/>
  <c r="I12" i="57" s="1"/>
  <c r="I13" i="57" s="1"/>
  <c r="I14" i="57" s="1"/>
  <c r="I15" i="57" s="1"/>
  <c r="I16" i="57" s="1"/>
  <c r="I17" i="57" s="1"/>
  <c r="I18" i="57" s="1"/>
  <c r="I19" i="57" s="1"/>
  <c r="I20" i="57" s="1"/>
  <c r="I21" i="57" s="1"/>
  <c r="G22" i="14"/>
  <c r="D12" i="11"/>
  <c r="E12" i="11"/>
  <c r="F12" i="11" s="1"/>
  <c r="H9" i="14"/>
  <c r="H10" i="14" s="1"/>
  <c r="H11" i="14" s="1"/>
  <c r="H12" i="14" s="1"/>
  <c r="H13" i="14" s="1"/>
  <c r="H14" i="14"/>
  <c r="H15" i="14"/>
  <c r="H16" i="14" s="1"/>
  <c r="H17" i="14" s="1"/>
  <c r="H18" i="14" s="1"/>
  <c r="H19" i="14" s="1"/>
  <c r="H20" i="14" s="1"/>
  <c r="A7" i="14"/>
  <c r="E3" i="14"/>
  <c r="A3" i="14"/>
  <c r="A2" i="14"/>
  <c r="A1" i="14"/>
  <c r="E23" i="13"/>
  <c r="F9" i="13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I9" i="13"/>
  <c r="I10" i="13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A7" i="13"/>
  <c r="E3" i="13"/>
  <c r="A3" i="13"/>
  <c r="A2" i="13"/>
  <c r="A1" i="13"/>
  <c r="F23" i="12"/>
  <c r="E10" i="11" s="1"/>
  <c r="D23" i="12"/>
  <c r="G10" i="12"/>
  <c r="G11" i="12" s="1"/>
  <c r="G12" i="12" s="1"/>
  <c r="G13" i="12"/>
  <c r="G14" i="12" s="1"/>
  <c r="G15" i="12" s="1"/>
  <c r="G16" i="12" s="1"/>
  <c r="G17" i="12" s="1"/>
  <c r="G18" i="12" s="1"/>
  <c r="G19" i="12" s="1"/>
  <c r="G20" i="12"/>
  <c r="G21" i="12"/>
  <c r="E9" i="12"/>
  <c r="A6" i="12"/>
  <c r="D3" i="12"/>
  <c r="A3" i="12"/>
  <c r="A2" i="12"/>
  <c r="A1" i="12"/>
  <c r="D11" i="11"/>
  <c r="C8" i="9"/>
  <c r="F15" i="6"/>
  <c r="G15" i="6" s="1"/>
  <c r="E28" i="10"/>
  <c r="F9" i="10"/>
  <c r="I9" i="10"/>
  <c r="F10" i="10"/>
  <c r="F11" i="10" s="1"/>
  <c r="F12" i="10"/>
  <c r="F13" i="10" s="1"/>
  <c r="F14" i="10" s="1"/>
  <c r="F15" i="10" s="1"/>
  <c r="F16" i="10" s="1"/>
  <c r="F17" i="10"/>
  <c r="F18" i="10"/>
  <c r="F19" i="10"/>
  <c r="F20" i="10"/>
  <c r="F21" i="10"/>
  <c r="F22" i="10" s="1"/>
  <c r="F23" i="10" s="1"/>
  <c r="F24" i="10" s="1"/>
  <c r="F25" i="10" s="1"/>
  <c r="F26" i="10" s="1"/>
  <c r="A7" i="10"/>
  <c r="E3" i="10"/>
  <c r="A3" i="10"/>
  <c r="A2" i="10"/>
  <c r="D10" i="9"/>
  <c r="D12" i="9" s="1"/>
  <c r="H15" i="6" s="1"/>
  <c r="G24" i="8"/>
  <c r="C24" i="8"/>
  <c r="H24" i="8"/>
  <c r="D3" i="8"/>
  <c r="I10" i="10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F48" i="6"/>
  <c r="D4" i="6"/>
  <c r="E6" i="6" s="1"/>
  <c r="G45" i="6"/>
  <c r="G44" i="6"/>
  <c r="G43" i="6"/>
  <c r="G42" i="6"/>
  <c r="G41" i="6"/>
  <c r="G40" i="6"/>
  <c r="G39" i="6"/>
  <c r="G38" i="6"/>
  <c r="G37" i="6"/>
  <c r="G36" i="6"/>
  <c r="G35" i="6"/>
  <c r="C8" i="55"/>
  <c r="C15" i="55" s="1"/>
  <c r="G34" i="6"/>
  <c r="C8" i="51" s="1"/>
  <c r="C15" i="51" s="1"/>
  <c r="G33" i="6"/>
  <c r="C8" i="47" s="1"/>
  <c r="C14" i="47" s="1"/>
  <c r="G32" i="6"/>
  <c r="C8" i="43"/>
  <c r="C14" i="43"/>
  <c r="G31" i="6"/>
  <c r="C8" i="39"/>
  <c r="C14" i="39" s="1"/>
  <c r="G30" i="6"/>
  <c r="C8" i="35" s="1"/>
  <c r="C15" i="35"/>
  <c r="G29" i="6"/>
  <c r="C8" i="31" s="1"/>
  <c r="C15" i="31" s="1"/>
  <c r="G28" i="6"/>
  <c r="C8" i="15"/>
  <c r="C15" i="15"/>
  <c r="G27" i="6"/>
  <c r="C8" i="23"/>
  <c r="C14" i="23" s="1"/>
  <c r="G26" i="6"/>
  <c r="C8" i="19" s="1"/>
  <c r="C15" i="19"/>
  <c r="G15" i="19" s="1"/>
  <c r="G16" i="6"/>
  <c r="C8" i="2" s="1"/>
  <c r="C14" i="2" s="1"/>
  <c r="G22" i="5"/>
  <c r="D12" i="2" s="1"/>
  <c r="H9" i="5"/>
  <c r="H10" i="5" s="1"/>
  <c r="H11" i="5"/>
  <c r="H12" i="5"/>
  <c r="H13" i="5"/>
  <c r="H14" i="5"/>
  <c r="H15" i="5"/>
  <c r="H16" i="5" s="1"/>
  <c r="H17" i="5"/>
  <c r="H18" i="5" s="1"/>
  <c r="H19" i="5" s="1"/>
  <c r="H20" i="5" s="1"/>
  <c r="A7" i="5"/>
  <c r="E3" i="5"/>
  <c r="A3" i="5"/>
  <c r="A2" i="5"/>
  <c r="A1" i="5"/>
  <c r="G23" i="4"/>
  <c r="E11" i="2"/>
  <c r="E23" i="4"/>
  <c r="H10" i="4"/>
  <c r="H11" i="4"/>
  <c r="H12" i="4" s="1"/>
  <c r="H13" i="4" s="1"/>
  <c r="H14" i="4" s="1"/>
  <c r="H15" i="4" s="1"/>
  <c r="H16" i="4"/>
  <c r="H17" i="4"/>
  <c r="H18" i="4"/>
  <c r="H19" i="4"/>
  <c r="H20" i="4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/>
  <c r="I19" i="4"/>
  <c r="I20" i="4"/>
  <c r="I21" i="4" s="1"/>
  <c r="A7" i="4"/>
  <c r="E3" i="4"/>
  <c r="A3" i="4"/>
  <c r="A2" i="4"/>
  <c r="A1" i="4"/>
  <c r="F23" i="3"/>
  <c r="E10" i="2"/>
  <c r="D23" i="3"/>
  <c r="H23" i="3" s="1"/>
  <c r="F10" i="2" s="1"/>
  <c r="D10" i="2"/>
  <c r="D14" i="2" s="1"/>
  <c r="H16" i="6" s="1"/>
  <c r="G10" i="3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 s="1"/>
  <c r="H10" i="3" s="1"/>
  <c r="E10" i="3"/>
  <c r="E11" i="3"/>
  <c r="E12" i="3"/>
  <c r="E13" i="3"/>
  <c r="E14" i="3"/>
  <c r="E15" i="3" s="1"/>
  <c r="E16" i="3"/>
  <c r="E17" i="3" s="1"/>
  <c r="E18" i="3"/>
  <c r="E19" i="3" s="1"/>
  <c r="E20" i="3" s="1"/>
  <c r="E21" i="3"/>
  <c r="A6" i="3"/>
  <c r="D3" i="3"/>
  <c r="A3" i="3"/>
  <c r="A2" i="3"/>
  <c r="A1" i="3"/>
  <c r="E12" i="2"/>
  <c r="F12" i="2"/>
  <c r="H11" i="3"/>
  <c r="H12" i="3"/>
  <c r="H13" i="3"/>
  <c r="H14" i="3"/>
  <c r="H15" i="3" s="1"/>
  <c r="H16" i="3" s="1"/>
  <c r="H17" i="3" s="1"/>
  <c r="H18" i="3" s="1"/>
  <c r="H19" i="3" s="1"/>
  <c r="H20" i="3" s="1"/>
  <c r="H21" i="3" s="1"/>
  <c r="I9" i="67"/>
  <c r="I10" i="67" s="1"/>
  <c r="I11" i="67" s="1"/>
  <c r="I12" i="67" s="1"/>
  <c r="I13" i="67" s="1"/>
  <c r="I14" i="67" s="1"/>
  <c r="I15" i="67" s="1"/>
  <c r="I16" i="67" s="1"/>
  <c r="I17" i="67" s="1"/>
  <c r="I18" i="67" s="1"/>
  <c r="I19" i="67" s="1"/>
  <c r="I20" i="67" s="1"/>
  <c r="I21" i="67" s="1"/>
  <c r="I23" i="75"/>
  <c r="O21" i="6"/>
  <c r="E13" i="82"/>
  <c r="E14" i="82" s="1"/>
  <c r="E15" i="82" s="1"/>
  <c r="E16" i="82" s="1"/>
  <c r="E17" i="82" s="1"/>
  <c r="E18" i="82" s="1"/>
  <c r="E19" i="82" s="1"/>
  <c r="E20" i="82" s="1"/>
  <c r="E21" i="82" s="1"/>
  <c r="E10" i="31"/>
  <c r="H28" i="78"/>
  <c r="K26" i="6"/>
  <c r="D12" i="39"/>
  <c r="F12" i="39" s="1"/>
  <c r="H26" i="32"/>
  <c r="H28" i="32"/>
  <c r="F28" i="32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G23" i="25"/>
  <c r="E11" i="23" s="1"/>
  <c r="H9" i="93"/>
  <c r="H10" i="93"/>
  <c r="H11" i="93" s="1"/>
  <c r="H12" i="93" s="1"/>
  <c r="H13" i="93" s="1"/>
  <c r="H14" i="93" s="1"/>
  <c r="H15" i="93" s="1"/>
  <c r="H16" i="93" s="1"/>
  <c r="H17" i="93" s="1"/>
  <c r="H18" i="93" s="1"/>
  <c r="H19" i="93" s="1"/>
  <c r="H20" i="93" s="1"/>
  <c r="H21" i="93" s="1"/>
  <c r="D10" i="15"/>
  <c r="H23" i="16"/>
  <c r="F10" i="15" s="1"/>
  <c r="F12" i="27"/>
  <c r="F11" i="73"/>
  <c r="H11" i="10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I23" i="49"/>
  <c r="O33" i="6" s="1"/>
  <c r="G23" i="41"/>
  <c r="E11" i="39" s="1"/>
  <c r="D10" i="59"/>
  <c r="D11" i="2"/>
  <c r="I23" i="4"/>
  <c r="F11" i="2"/>
  <c r="F10" i="21"/>
  <c r="F11" i="21"/>
  <c r="F12" i="21"/>
  <c r="F13" i="21" s="1"/>
  <c r="F14" i="21" s="1"/>
  <c r="F15" i="21" s="1"/>
  <c r="F16" i="21" s="1"/>
  <c r="F17" i="21" s="1"/>
  <c r="F18" i="21"/>
  <c r="F19" i="21"/>
  <c r="F20" i="21"/>
  <c r="F21" i="21" s="1"/>
  <c r="I9" i="21"/>
  <c r="I10" i="21" s="1"/>
  <c r="I11" i="21" s="1"/>
  <c r="I12" i="21"/>
  <c r="I13" i="21"/>
  <c r="I14" i="21" s="1"/>
  <c r="I15" i="21" s="1"/>
  <c r="I16" i="21" s="1"/>
  <c r="I17" i="21" s="1"/>
  <c r="I18" i="21" s="1"/>
  <c r="I19" i="21" s="1"/>
  <c r="I20" i="21" s="1"/>
  <c r="I21" i="21" s="1"/>
  <c r="F12" i="55"/>
  <c r="I10" i="45"/>
  <c r="I11" i="45" s="1"/>
  <c r="I12" i="45" s="1"/>
  <c r="I13" i="45" s="1"/>
  <c r="I14" i="45" s="1"/>
  <c r="I15" i="45" s="1"/>
  <c r="I16" i="45" s="1"/>
  <c r="I17" i="45" s="1"/>
  <c r="I18" i="45" s="1"/>
  <c r="I19" i="45" s="1"/>
  <c r="I20" i="45" s="1"/>
  <c r="I21" i="45" s="1"/>
  <c r="H23" i="94"/>
  <c r="F13" i="35" s="1"/>
  <c r="E13" i="35"/>
  <c r="E48" i="6"/>
  <c r="I9" i="83"/>
  <c r="I10" i="83"/>
  <c r="I11" i="83" s="1"/>
  <c r="I12" i="83" s="1"/>
  <c r="I13" i="83" s="1"/>
  <c r="I14" i="83" s="1"/>
  <c r="I15" i="83" s="1"/>
  <c r="I16" i="83" s="1"/>
  <c r="I17" i="83" s="1"/>
  <c r="I18" i="83" s="1"/>
  <c r="I19" i="83" s="1"/>
  <c r="I20" i="83" s="1"/>
  <c r="I21" i="83" s="1"/>
  <c r="F10" i="83"/>
  <c r="F11" i="83" s="1"/>
  <c r="F12" i="83" s="1"/>
  <c r="F13" i="83" s="1"/>
  <c r="F14" i="83" s="1"/>
  <c r="F15" i="83" s="1"/>
  <c r="F16" i="83" s="1"/>
  <c r="F17" i="83" s="1"/>
  <c r="F18" i="83"/>
  <c r="F19" i="83"/>
  <c r="F20" i="83"/>
  <c r="F21" i="83"/>
  <c r="I11" i="53"/>
  <c r="I12" i="53" s="1"/>
  <c r="I13" i="53"/>
  <c r="I14" i="53" s="1"/>
  <c r="I15" i="53" s="1"/>
  <c r="I16" i="53" s="1"/>
  <c r="I17" i="53" s="1"/>
  <c r="I18" i="53" s="1"/>
  <c r="I19" i="53" s="1"/>
  <c r="I20" i="53" s="1"/>
  <c r="I21" i="53" s="1"/>
  <c r="D12" i="65"/>
  <c r="E10" i="70"/>
  <c r="E11" i="70" s="1"/>
  <c r="E12" i="70" s="1"/>
  <c r="E13" i="70" s="1"/>
  <c r="E14" i="70" s="1"/>
  <c r="E15" i="70" s="1"/>
  <c r="E16" i="70" s="1"/>
  <c r="E17" i="70" s="1"/>
  <c r="E18" i="70" s="1"/>
  <c r="E19" i="70" s="1"/>
  <c r="E20" i="70" s="1"/>
  <c r="E21" i="70" s="1"/>
  <c r="H9" i="70"/>
  <c r="H10" i="70"/>
  <c r="H11" i="70" s="1"/>
  <c r="H12" i="70" s="1"/>
  <c r="H13" i="70" s="1"/>
  <c r="H14" i="70" s="1"/>
  <c r="H15" i="70" s="1"/>
  <c r="H16" i="70" s="1"/>
  <c r="H17" i="70" s="1"/>
  <c r="H18" i="70" s="1"/>
  <c r="H19" i="70" s="1"/>
  <c r="H20" i="70" s="1"/>
  <c r="H21" i="70" s="1"/>
  <c r="H11" i="37"/>
  <c r="H12" i="37" s="1"/>
  <c r="H13" i="37" s="1"/>
  <c r="H14" i="37" s="1"/>
  <c r="H15" i="37" s="1"/>
  <c r="H16" i="37" s="1"/>
  <c r="H17" i="37" s="1"/>
  <c r="H18" i="37" s="1"/>
  <c r="H19" i="37" s="1"/>
  <c r="H20" i="37" s="1"/>
  <c r="H21" i="37" s="1"/>
  <c r="H23" i="66"/>
  <c r="F10" i="65" s="1"/>
  <c r="E12" i="73"/>
  <c r="D12" i="73"/>
  <c r="F12" i="73" s="1"/>
  <c r="D14" i="65"/>
  <c r="F12" i="65"/>
  <c r="H17" i="6"/>
  <c r="I15" i="6"/>
  <c r="F12" i="9"/>
  <c r="J15" i="6" s="1"/>
  <c r="F11" i="47" l="1"/>
  <c r="I23" i="41"/>
  <c r="O31" i="6" s="1"/>
  <c r="E14" i="39"/>
  <c r="I31" i="6" s="1"/>
  <c r="H23" i="32"/>
  <c r="F10" i="31" s="1"/>
  <c r="E10" i="24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D10" i="23"/>
  <c r="D14" i="23" s="1"/>
  <c r="G14" i="23" s="1"/>
  <c r="K27" i="6" s="1"/>
  <c r="G48" i="6"/>
  <c r="E7" i="6" s="1"/>
  <c r="E12" i="31"/>
  <c r="D15" i="31"/>
  <c r="H29" i="6" s="1"/>
  <c r="E14" i="73"/>
  <c r="I21" i="6" s="1"/>
  <c r="E10" i="86"/>
  <c r="E11" i="86" s="1"/>
  <c r="E12" i="86" s="1"/>
  <c r="E13" i="86" s="1"/>
  <c r="E14" i="86" s="1"/>
  <c r="E15" i="86" s="1"/>
  <c r="E16" i="86" s="1"/>
  <c r="E17" i="86" s="1"/>
  <c r="E18" i="86" s="1"/>
  <c r="E19" i="86" s="1"/>
  <c r="E20" i="86" s="1"/>
  <c r="E21" i="86" s="1"/>
  <c r="H23" i="86"/>
  <c r="F10" i="85" s="1"/>
  <c r="H23" i="82"/>
  <c r="F10" i="81" s="1"/>
  <c r="E10" i="90"/>
  <c r="E11" i="90" s="1"/>
  <c r="E12" i="90" s="1"/>
  <c r="E13" i="90" s="1"/>
  <c r="E14" i="90" s="1"/>
  <c r="E15" i="90" s="1"/>
  <c r="E16" i="90" s="1"/>
  <c r="E17" i="90" s="1"/>
  <c r="E18" i="90" s="1"/>
  <c r="E19" i="90" s="1"/>
  <c r="E20" i="90" s="1"/>
  <c r="E21" i="90" s="1"/>
  <c r="H23" i="90"/>
  <c r="F10" i="89" s="1"/>
  <c r="I23" i="33"/>
  <c r="E11" i="31"/>
  <c r="G14" i="43"/>
  <c r="K32" i="6" s="1"/>
  <c r="E8" i="6"/>
  <c r="K50" i="6" s="1"/>
  <c r="J52" i="6"/>
  <c r="E10" i="59"/>
  <c r="E15" i="59" s="1"/>
  <c r="H23" i="60"/>
  <c r="F10" i="59" s="1"/>
  <c r="E10" i="40"/>
  <c r="E11" i="40" s="1"/>
  <c r="E12" i="40" s="1"/>
  <c r="E13" i="40" s="1"/>
  <c r="E14" i="40" s="1"/>
  <c r="E15" i="40" s="1"/>
  <c r="E16" i="40" s="1"/>
  <c r="E17" i="40" s="1"/>
  <c r="E18" i="40" s="1"/>
  <c r="E19" i="40" s="1"/>
  <c r="E20" i="40" s="1"/>
  <c r="E21" i="40" s="1"/>
  <c r="H9" i="40"/>
  <c r="H10" i="40" s="1"/>
  <c r="H11" i="40" s="1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I23" i="21"/>
  <c r="E11" i="19"/>
  <c r="E15" i="19" s="1"/>
  <c r="D10" i="11"/>
  <c r="D14" i="11" s="1"/>
  <c r="H23" i="12"/>
  <c r="F10" i="11" s="1"/>
  <c r="I23" i="25"/>
  <c r="E10" i="48"/>
  <c r="E11" i="48" s="1"/>
  <c r="E12" i="48" s="1"/>
  <c r="E13" i="48" s="1"/>
  <c r="E14" i="48" s="1"/>
  <c r="E15" i="48" s="1"/>
  <c r="E16" i="48" s="1"/>
  <c r="E17" i="48" s="1"/>
  <c r="E18" i="48" s="1"/>
  <c r="E19" i="48" s="1"/>
  <c r="E20" i="48" s="1"/>
  <c r="E21" i="48" s="1"/>
  <c r="H9" i="48"/>
  <c r="H10" i="48" s="1"/>
  <c r="H11" i="48" s="1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G14" i="11"/>
  <c r="K18" i="6" s="1"/>
  <c r="H26" i="52"/>
  <c r="H28" i="52" s="1"/>
  <c r="F28" i="52"/>
  <c r="H10" i="13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G23" i="13"/>
  <c r="G14" i="2"/>
  <c r="K16" i="6" s="1"/>
  <c r="E14" i="23"/>
  <c r="I27" i="6" s="1"/>
  <c r="H23" i="78"/>
  <c r="F10" i="77" s="1"/>
  <c r="I23" i="45"/>
  <c r="D15" i="89"/>
  <c r="F14" i="2"/>
  <c r="J16" i="6" s="1"/>
  <c r="H19" i="6"/>
  <c r="G14" i="65"/>
  <c r="K19" i="6" s="1"/>
  <c r="D10" i="43"/>
  <c r="D14" i="43" s="1"/>
  <c r="H23" i="44"/>
  <c r="F10" i="43" s="1"/>
  <c r="D10" i="27"/>
  <c r="D14" i="27" s="1"/>
  <c r="F11" i="77"/>
  <c r="O22" i="6"/>
  <c r="D12" i="77"/>
  <c r="E12" i="77"/>
  <c r="E14" i="77" s="1"/>
  <c r="I22" i="6" s="1"/>
  <c r="H27" i="16"/>
  <c r="H28" i="16" s="1"/>
  <c r="F28" i="16"/>
  <c r="G15" i="35"/>
  <c r="K30" i="6" s="1"/>
  <c r="G23" i="71"/>
  <c r="E11" i="69" s="1"/>
  <c r="E14" i="69" s="1"/>
  <c r="I20" i="6" s="1"/>
  <c r="H11" i="71"/>
  <c r="H12" i="71" s="1"/>
  <c r="H13" i="71" s="1"/>
  <c r="H14" i="71" s="1"/>
  <c r="H15" i="71" s="1"/>
  <c r="H16" i="71" s="1"/>
  <c r="H17" i="71" s="1"/>
  <c r="H18" i="71" s="1"/>
  <c r="H19" i="71" s="1"/>
  <c r="H20" i="71" s="1"/>
  <c r="H21" i="71" s="1"/>
  <c r="F10" i="71"/>
  <c r="F11" i="71" s="1"/>
  <c r="F12" i="71" s="1"/>
  <c r="F13" i="71" s="1"/>
  <c r="F14" i="71" s="1"/>
  <c r="F15" i="71" s="1"/>
  <c r="F16" i="71" s="1"/>
  <c r="F17" i="71" s="1"/>
  <c r="F18" i="71" s="1"/>
  <c r="F19" i="71" s="1"/>
  <c r="F20" i="71" s="1"/>
  <c r="F21" i="71" s="1"/>
  <c r="I9" i="71"/>
  <c r="I10" i="71" s="1"/>
  <c r="I11" i="71" s="1"/>
  <c r="I12" i="71" s="1"/>
  <c r="I13" i="71" s="1"/>
  <c r="I14" i="71" s="1"/>
  <c r="I15" i="71" s="1"/>
  <c r="I16" i="71" s="1"/>
  <c r="I17" i="71" s="1"/>
  <c r="I18" i="71" s="1"/>
  <c r="I19" i="71" s="1"/>
  <c r="I20" i="71" s="1"/>
  <c r="I21" i="71" s="1"/>
  <c r="D11" i="81"/>
  <c r="D15" i="81" s="1"/>
  <c r="H29" i="93"/>
  <c r="G12" i="9"/>
  <c r="K15" i="6" s="1"/>
  <c r="C12" i="9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F10" i="17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E14" i="27"/>
  <c r="H23" i="64"/>
  <c r="F13" i="51" s="1"/>
  <c r="D14" i="77"/>
  <c r="H23" i="95"/>
  <c r="F13" i="15" s="1"/>
  <c r="D13" i="15"/>
  <c r="D15" i="15" s="1"/>
  <c r="I9" i="41"/>
  <c r="I10" i="41" s="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F10" i="41"/>
  <c r="F11" i="41" s="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H9" i="98"/>
  <c r="H10" i="98" s="1"/>
  <c r="H11" i="98" s="1"/>
  <c r="H12" i="98" s="1"/>
  <c r="H13" i="98" s="1"/>
  <c r="H14" i="98" s="1"/>
  <c r="H15" i="98" s="1"/>
  <c r="H16" i="98" s="1"/>
  <c r="H17" i="98" s="1"/>
  <c r="H18" i="98" s="1"/>
  <c r="H19" i="98" s="1"/>
  <c r="H20" i="98" s="1"/>
  <c r="H21" i="98" s="1"/>
  <c r="E10" i="98"/>
  <c r="E11" i="98" s="1"/>
  <c r="E12" i="98" s="1"/>
  <c r="E13" i="98" s="1"/>
  <c r="E14" i="98" s="1"/>
  <c r="E15" i="98" s="1"/>
  <c r="E16" i="98" s="1"/>
  <c r="E17" i="98" s="1"/>
  <c r="E18" i="98" s="1"/>
  <c r="E19" i="98" s="1"/>
  <c r="E20" i="98" s="1"/>
  <c r="E21" i="98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E14" i="2"/>
  <c r="I16" i="6" s="1"/>
  <c r="H23" i="20"/>
  <c r="F10" i="19" s="1"/>
  <c r="H9" i="36"/>
  <c r="H10" i="36" s="1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E10" i="36"/>
  <c r="E11" i="36" s="1"/>
  <c r="E12" i="36" s="1"/>
  <c r="E13" i="36" s="1"/>
  <c r="E14" i="36" s="1"/>
  <c r="E15" i="36" s="1"/>
  <c r="E16" i="36" s="1"/>
  <c r="E17" i="36" s="1"/>
  <c r="E18" i="36" s="1"/>
  <c r="E19" i="36" s="1"/>
  <c r="E20" i="36" s="1"/>
  <c r="E21" i="36" s="1"/>
  <c r="E10" i="56"/>
  <c r="E11" i="56" s="1"/>
  <c r="E12" i="56" s="1"/>
  <c r="E13" i="56" s="1"/>
  <c r="E14" i="56" s="1"/>
  <c r="E15" i="56" s="1"/>
  <c r="E16" i="56" s="1"/>
  <c r="E17" i="56" s="1"/>
  <c r="E18" i="56" s="1"/>
  <c r="E19" i="56" s="1"/>
  <c r="E20" i="56" s="1"/>
  <c r="E21" i="56" s="1"/>
  <c r="H9" i="56"/>
  <c r="H10" i="56" s="1"/>
  <c r="H11" i="56" s="1"/>
  <c r="H12" i="56" s="1"/>
  <c r="H13" i="56" s="1"/>
  <c r="H14" i="56" s="1"/>
  <c r="H15" i="56" s="1"/>
  <c r="H16" i="56" s="1"/>
  <c r="H17" i="56" s="1"/>
  <c r="H18" i="56" s="1"/>
  <c r="H19" i="56" s="1"/>
  <c r="H20" i="56" s="1"/>
  <c r="H21" i="56" s="1"/>
  <c r="H28" i="36"/>
  <c r="F10" i="35" s="1"/>
  <c r="E10" i="63"/>
  <c r="E11" i="63" s="1"/>
  <c r="E12" i="63" s="1"/>
  <c r="E13" i="63" s="1"/>
  <c r="E14" i="63" s="1"/>
  <c r="E15" i="63" s="1"/>
  <c r="E16" i="63" s="1"/>
  <c r="E17" i="63" s="1"/>
  <c r="E18" i="63" s="1"/>
  <c r="E19" i="63" s="1"/>
  <c r="E20" i="63" s="1"/>
  <c r="E21" i="63" s="1"/>
  <c r="H9" i="63"/>
  <c r="H10" i="63" s="1"/>
  <c r="H11" i="63" s="1"/>
  <c r="H12" i="63" s="1"/>
  <c r="H13" i="63" s="1"/>
  <c r="H14" i="63" s="1"/>
  <c r="H15" i="63" s="1"/>
  <c r="H16" i="63" s="1"/>
  <c r="H17" i="63" s="1"/>
  <c r="H18" i="63" s="1"/>
  <c r="H19" i="63" s="1"/>
  <c r="H20" i="63" s="1"/>
  <c r="H21" i="63" s="1"/>
  <c r="F28" i="36"/>
  <c r="E10" i="35" s="1"/>
  <c r="D11" i="35"/>
  <c r="D15" i="35" s="1"/>
  <c r="F10" i="33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I9" i="33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E10" i="66"/>
  <c r="E11" i="66" s="1"/>
  <c r="E12" i="66" s="1"/>
  <c r="E13" i="66" s="1"/>
  <c r="E14" i="66" s="1"/>
  <c r="E15" i="66" s="1"/>
  <c r="E16" i="66" s="1"/>
  <c r="E17" i="66" s="1"/>
  <c r="E18" i="66" s="1"/>
  <c r="E19" i="66" s="1"/>
  <c r="E20" i="66" s="1"/>
  <c r="E21" i="66" s="1"/>
  <c r="H9" i="66"/>
  <c r="H10" i="66" s="1"/>
  <c r="H11" i="66" s="1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D11" i="69"/>
  <c r="D14" i="69" s="1"/>
  <c r="I23" i="71"/>
  <c r="H23" i="97"/>
  <c r="F13" i="55" s="1"/>
  <c r="D13" i="55"/>
  <c r="D15" i="55" s="1"/>
  <c r="G23" i="83"/>
  <c r="E11" i="81" s="1"/>
  <c r="E15" i="81" s="1"/>
  <c r="I23" i="6" s="1"/>
  <c r="H10" i="83"/>
  <c r="H11" i="83" s="1"/>
  <c r="H12" i="83" s="1"/>
  <c r="H13" i="83" s="1"/>
  <c r="H14" i="83" s="1"/>
  <c r="H15" i="83" s="1"/>
  <c r="H16" i="83" s="1"/>
  <c r="H17" i="83" s="1"/>
  <c r="H18" i="83" s="1"/>
  <c r="H19" i="83" s="1"/>
  <c r="H20" i="83" s="1"/>
  <c r="H21" i="83" s="1"/>
  <c r="I28" i="10"/>
  <c r="F10" i="9" s="1"/>
  <c r="E12" i="81"/>
  <c r="F12" i="81"/>
  <c r="H31" i="97"/>
  <c r="D10" i="39"/>
  <c r="D14" i="39" s="1"/>
  <c r="H23" i="40"/>
  <c r="F10" i="39" s="1"/>
  <c r="E10" i="51"/>
  <c r="H23" i="52"/>
  <c r="F10" i="51" s="1"/>
  <c r="G15" i="85"/>
  <c r="K24" i="6" s="1"/>
  <c r="H13" i="21"/>
  <c r="H14" i="21" s="1"/>
  <c r="H15" i="21" s="1"/>
  <c r="H16" i="21" s="1"/>
  <c r="H17" i="21" s="1"/>
  <c r="H18" i="21" s="1"/>
  <c r="H19" i="21" s="1"/>
  <c r="H20" i="21" s="1"/>
  <c r="H21" i="21" s="1"/>
  <c r="G23" i="53"/>
  <c r="D15" i="51"/>
  <c r="G23" i="67"/>
  <c r="H10" i="67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10" i="91"/>
  <c r="H11" i="91" s="1"/>
  <c r="H12" i="91" s="1"/>
  <c r="H13" i="91" s="1"/>
  <c r="H14" i="91" s="1"/>
  <c r="H15" i="91" s="1"/>
  <c r="H16" i="91" s="1"/>
  <c r="H17" i="91" s="1"/>
  <c r="H18" i="91" s="1"/>
  <c r="H19" i="91" s="1"/>
  <c r="H20" i="91" s="1"/>
  <c r="H21" i="91" s="1"/>
  <c r="G23" i="91"/>
  <c r="D12" i="47"/>
  <c r="E12" i="47"/>
  <c r="E14" i="47" s="1"/>
  <c r="I33" i="6" s="1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F28" i="20"/>
  <c r="H27" i="20"/>
  <c r="H28" i="20" s="1"/>
  <c r="D14" i="73"/>
  <c r="H23" i="96"/>
  <c r="G23" i="37"/>
  <c r="E11" i="35" s="1"/>
  <c r="G23" i="57"/>
  <c r="E11" i="55" s="1"/>
  <c r="E15" i="55" s="1"/>
  <c r="I35" i="6" s="1"/>
  <c r="G23" i="17"/>
  <c r="H23" i="70"/>
  <c r="F10" i="69" s="1"/>
  <c r="H31" i="63"/>
  <c r="F13" i="31" s="1"/>
  <c r="I23" i="61"/>
  <c r="G23" i="87"/>
  <c r="E11" i="85" s="1"/>
  <c r="E15" i="85" s="1"/>
  <c r="F11" i="39" l="1"/>
  <c r="E15" i="31"/>
  <c r="I29" i="6" s="1"/>
  <c r="F14" i="23"/>
  <c r="J27" i="6" s="1"/>
  <c r="H27" i="6"/>
  <c r="F12" i="31"/>
  <c r="G15" i="31"/>
  <c r="K29" i="6" s="1"/>
  <c r="F15" i="81"/>
  <c r="J23" i="6" s="1"/>
  <c r="H23" i="6"/>
  <c r="G15" i="81"/>
  <c r="K23" i="6" s="1"/>
  <c r="I26" i="6"/>
  <c r="F15" i="19"/>
  <c r="J26" i="6" s="1"/>
  <c r="F14" i="69"/>
  <c r="J20" i="6" s="1"/>
  <c r="H20" i="6"/>
  <c r="G14" i="69"/>
  <c r="K20" i="6" s="1"/>
  <c r="H28" i="6"/>
  <c r="G15" i="15"/>
  <c r="K28" i="6" s="1"/>
  <c r="I24" i="6"/>
  <c r="F15" i="85"/>
  <c r="J24" i="6" s="1"/>
  <c r="F15" i="55"/>
  <c r="J35" i="6" s="1"/>
  <c r="H35" i="6"/>
  <c r="F12" i="47"/>
  <c r="D14" i="47"/>
  <c r="I23" i="83"/>
  <c r="E11" i="11"/>
  <c r="E14" i="11" s="1"/>
  <c r="I18" i="6" s="1"/>
  <c r="I23" i="13"/>
  <c r="E11" i="89"/>
  <c r="E15" i="89" s="1"/>
  <c r="I25" i="6" s="1"/>
  <c r="I23" i="91"/>
  <c r="H31" i="6"/>
  <c r="F14" i="39"/>
  <c r="J31" i="6" s="1"/>
  <c r="O20" i="6"/>
  <c r="F11" i="69"/>
  <c r="F11" i="19"/>
  <c r="O26" i="6"/>
  <c r="F14" i="77"/>
  <c r="J22" i="6" s="1"/>
  <c r="H22" i="6"/>
  <c r="G14" i="77"/>
  <c r="K22" i="6" s="1"/>
  <c r="F12" i="77"/>
  <c r="G15" i="89"/>
  <c r="K25" i="6" s="1"/>
  <c r="H25" i="6"/>
  <c r="E11" i="65"/>
  <c r="E14" i="65" s="1"/>
  <c r="I23" i="67"/>
  <c r="O32" i="6"/>
  <c r="F11" i="43"/>
  <c r="H34" i="6"/>
  <c r="E11" i="51"/>
  <c r="E15" i="51" s="1"/>
  <c r="I23" i="53"/>
  <c r="I23" i="57"/>
  <c r="F14" i="27"/>
  <c r="G14" i="27"/>
  <c r="G15" i="51"/>
  <c r="K34" i="6" s="1"/>
  <c r="H30" i="6"/>
  <c r="G14" i="39"/>
  <c r="K31" i="6" s="1"/>
  <c r="I23" i="37"/>
  <c r="O27" i="6"/>
  <c r="F11" i="23"/>
  <c r="F14" i="73"/>
  <c r="J21" i="6" s="1"/>
  <c r="H21" i="6"/>
  <c r="G14" i="73"/>
  <c r="K21" i="6" s="1"/>
  <c r="F11" i="59"/>
  <c r="O17" i="6"/>
  <c r="G15" i="55"/>
  <c r="K35" i="6" s="1"/>
  <c r="E11" i="15"/>
  <c r="E15" i="15" s="1"/>
  <c r="I28" i="6" s="1"/>
  <c r="I23" i="17"/>
  <c r="I23" i="87"/>
  <c r="I17" i="6"/>
  <c r="F15" i="59"/>
  <c r="J17" i="6" s="1"/>
  <c r="O29" i="6"/>
  <c r="F11" i="31"/>
  <c r="E15" i="35"/>
  <c r="I30" i="6" s="1"/>
  <c r="F14" i="43"/>
  <c r="J32" i="6" s="1"/>
  <c r="H32" i="6"/>
  <c r="H18" i="6"/>
  <c r="F15" i="35" l="1"/>
  <c r="J30" i="6" s="1"/>
  <c r="F15" i="31"/>
  <c r="J29" i="6" s="1"/>
  <c r="F15" i="89"/>
  <c r="J25" i="6" s="1"/>
  <c r="F15" i="15"/>
  <c r="J28" i="6" s="1"/>
  <c r="I34" i="6"/>
  <c r="F15" i="51"/>
  <c r="J34" i="6" s="1"/>
  <c r="F11" i="51"/>
  <c r="O34" i="6"/>
  <c r="O18" i="6"/>
  <c r="F11" i="11"/>
  <c r="F11" i="81"/>
  <c r="O23" i="6"/>
  <c r="H33" i="6"/>
  <c r="F14" i="47"/>
  <c r="J33" i="6" s="1"/>
  <c r="G14" i="47"/>
  <c r="K33" i="6" s="1"/>
  <c r="K48" i="6" s="1"/>
  <c r="K51" i="6" s="1"/>
  <c r="F11" i="85"/>
  <c r="O24" i="6"/>
  <c r="F11" i="35"/>
  <c r="O30" i="6"/>
  <c r="F14" i="11"/>
  <c r="J18" i="6" s="1"/>
  <c r="O28" i="6"/>
  <c r="F11" i="15"/>
  <c r="O19" i="6"/>
  <c r="F11" i="65"/>
  <c r="H48" i="6"/>
  <c r="J53" i="6" s="1"/>
  <c r="K53" i="6" s="1"/>
  <c r="I19" i="6"/>
  <c r="F14" i="65"/>
  <c r="J19" i="6" s="1"/>
  <c r="F11" i="89"/>
  <c r="O25" i="6"/>
  <c r="O35" i="6"/>
  <c r="F11" i="55"/>
  <c r="I48" i="6" l="1"/>
  <c r="J48" i="6"/>
  <c r="K5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9371.00 - DPS Post 3 Parking Lot Rep - MM25
$Joni
Elliott, Jennie
8:37 AM (5 minutes ago)
to me, Jennifer, Scott
Due to good bids, Please return $142,000 in funding from project 9371.00 in MM25 to the Total Unassigned/Unallocated line.  This will bring the project budget for 9371.00 in MM25 to $378,000.00
Thank you,
Jennie Elliott</t>
        </r>
      </text>
    </comment>
    <comment ref="E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New Major Maintenance Projects
$Joni
Kleene, Jennifer
9:33 AM (3 hours ago)
to me, Scott, Jennie, James, Brad, Brandon
Please increase the funding for MM25 Project # 9422.00 by $2,900,000 and set-up the following new projects. Please let me know if you have any questions.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Re: FY 25 9997.25 PM Time
Inbox
Gustafson, Scott
Wed, Jun 26, 3:25 PM (17 hours ago)
to me
John,
Please set the budget at $75,000.
Respectfully,
Scott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MM24 9422.00 DOC ASP Tuckpointing Priorities 7, 8, &amp; 9
$Joni
Adams, Brandon
Aug 6, 2024, 11:08 AM (2 days ago)
to me, Jennifer, Scott
Finance,
Please close PM Time for MM24 9422.00 once July PM time posts.  Please return all remaining funds back to MM24.
Please transfer $100,000 from MM25 and create 9422.00 DOC ASP Tuckpointing Priorities 7, 8, &amp; 9 in MM25
Please set the PM budget in MM25 9422.00 DOC ASP Tuckpointing Priorities 7, 8, &amp; 9 at $5,000.
Please update the August billing sheet.
Regards,
Brandon Adams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Re: November PM Time
$Joni
Adams, Brandon
9:01 AM (45 minutes ago)
to me
Finance,
Please increase the DAS Cost for MM25  9442.00   $10,000
Please set the DAS Cost for MM25  9443.00 to $25,000
Regards,
Brandon Adams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Re: November PM Time
$Joni
Adams, Brandon
9:01 AM (45 minutes ago)
to me
Finance,
Please increase the DAS Cost for MM25  9442.00   $10,000
Please set the DAS Cost for MM25  9443.00 to $25,000
Regards,
Brandon Adams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- James Trower
$Joni
Trower, James
9:00 AM (1 hour ago)
to me
Finance -
Please set up PM Time:
9447.00 - DAS TH HVAC Repairs
Funding: MM25
PM Time: $15,000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- James Trower
$Joni
Trower, James
9:00 AM (1 hour ago)
to me
Finance -
Please set up PM Time:
9448.00 - DAS TH Residence Roof, Porch, &amp; South Garden Wall Repairs
MM25 Funding:
PM Time: $30,000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- James Trower
$Joni
Trower, James
9:00 AM (1 hour ago)
to me
Finance -
Please set up PM Time
9449.00 - DAS TH Carriage House Roof Replacement
MM25 Funding:
PM Time: $15,000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36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(2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3A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New DAS Costs Budget for MM25 9453.00
$Joni
Kleene, Jennifer
10:40 AM (23 minutes ago)
to me
Please create a new DAS Costs budget for $6,300.00 for MM25 Project 9453.00.
Regards,
Jennifer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3F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Re: PM Time Posted
Inbox
Adams, Brandon
1:48 PM (14 minutes ago)
to me
Joni,
Please set my PM Time for MM25 9454.00 at $18,000.
Regards,
Brandon Adams
Owner's Representative, State Design &amp; Construction Resou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4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(3 minutes ago)
to me
Please establish the following for PM Time budgets in the corresponding projects.
9452.00 - $12,000.00
9455.00 - $50,000.00
9456.00 - $13,000.00
9457.00 - $13,000.00
9458.00 - $10,000.00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49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(4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4D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(4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5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(5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sharedStrings.xml><?xml version="1.0" encoding="utf-8"?>
<sst xmlns="http://schemas.openxmlformats.org/spreadsheetml/2006/main" count="2374" uniqueCount="391">
  <si>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</si>
  <si>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</si>
  <si>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</si>
  <si>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</si>
  <si>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</si>
  <si>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</si>
  <si>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</si>
  <si>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</si>
  <si>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</si>
  <si>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</si>
  <si>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</si>
  <si>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</si>
  <si>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</si>
  <si>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</si>
  <si>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</si>
  <si>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</si>
  <si>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</si>
  <si>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</si>
  <si>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</si>
  <si>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</si>
  <si>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</si>
  <si>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</si>
  <si>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</si>
  <si>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</si>
  <si>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</si>
  <si>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</si>
  <si>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</si>
  <si>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</si>
  <si>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</si>
  <si>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</si>
  <si>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</si>
  <si>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</si>
  <si>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</si>
  <si>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</si>
  <si>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</si>
  <si>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</si>
  <si>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</si>
  <si>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</si>
  <si>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</si>
  <si>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</si>
  <si>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</si>
  <si>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</si>
  <si>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</si>
  <si>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</si>
  <si>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</si>
  <si>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</si>
  <si>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</si>
  <si>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</si>
  <si>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</si>
  <si>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</si>
  <si>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</si>
  <si>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</si>
  <si>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</si>
  <si>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</si>
  <si>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</si>
  <si>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</si>
  <si>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</si>
  <si>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</si>
  <si>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</si>
  <si>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Project Management Time</t>
  </si>
  <si>
    <t>Scott G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</si>
  <si>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</si>
  <si>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</si>
  <si>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</si>
  <si>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</si>
  <si>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</si>
  <si>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</si>
  <si>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</si>
  <si>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9997.25</t>
  </si>
  <si>
    <t>Acct. Codes-0017-335-MM25</t>
  </si>
  <si>
    <r>
      <t>Acct. Codes-0017-335-MM25-</t>
    </r>
    <r>
      <rPr>
        <b/>
        <sz val="11"/>
        <color indexed="10"/>
        <rFont val="Arial"/>
        <family val="2"/>
      </rPr>
      <t>xxxx</t>
    </r>
  </si>
  <si>
    <t>Acct. Codes-0017-335-MM25-xxxx</t>
  </si>
  <si>
    <t xml:space="preserve">Funds Rec'd 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</si>
  <si>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</si>
  <si>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</si>
  <si>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</si>
  <si>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</si>
  <si>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</si>
  <si>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</si>
  <si>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</si>
  <si>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</si>
  <si>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Project # 9997.25</t>
  </si>
  <si>
    <t>Program code 999725</t>
  </si>
  <si>
    <t>Project Manager - NA</t>
  </si>
  <si>
    <t>Major Program 3E01</t>
  </si>
  <si>
    <t>eDAS E2DU</t>
  </si>
  <si>
    <t>IET DAS202501115300001</t>
  </si>
  <si>
    <t>Finance Support for July 1-31,2024</t>
  </si>
  <si>
    <t>DAS Services for July 1-31, 2024</t>
  </si>
  <si>
    <t>9422.00</t>
  </si>
  <si>
    <t>DOC ASP Tuckpointing Priorities 7, 8, &amp; 9</t>
  </si>
  <si>
    <t>Brandon A.</t>
  </si>
  <si>
    <t>Project # 9422.00</t>
  </si>
  <si>
    <t>Program code 942200</t>
  </si>
  <si>
    <t>Project Manager - Brandon A.</t>
  </si>
  <si>
    <t>Major Program 4E01</t>
  </si>
  <si>
    <t>eDAS  E2FF</t>
  </si>
  <si>
    <t>CDE 33525229800</t>
  </si>
  <si>
    <t>Moving PM Expense to CS23 9421.00(Finance Support-July)</t>
  </si>
  <si>
    <t>Moving PM Expense to CS23 9421.00(DAS Services-July)</t>
  </si>
  <si>
    <t>9354.00</t>
  </si>
  <si>
    <t>DOC ASP LUC Plumbing Repairs Phase 2 &amp; 3</t>
  </si>
  <si>
    <t>Jennie E</t>
  </si>
  <si>
    <t>9451.00</t>
  </si>
  <si>
    <t>9452.00</t>
  </si>
  <si>
    <t>9453.00</t>
  </si>
  <si>
    <t>9454.00</t>
  </si>
  <si>
    <t>9455.00</t>
  </si>
  <si>
    <t>9456.00</t>
  </si>
  <si>
    <t>9457.00</t>
  </si>
  <si>
    <t>9458.00</t>
  </si>
  <si>
    <t>9460.00</t>
  </si>
  <si>
    <t>9459.00</t>
  </si>
  <si>
    <t>DOC ASP LUA A/C Replacement</t>
  </si>
  <si>
    <t>HHS CHMHI Generator Controller Replacement</t>
  </si>
  <si>
    <t>DOC FDCF IPI Roof Replacement</t>
  </si>
  <si>
    <t>DOC ICIW Building 9 Roof Replacement</t>
  </si>
  <si>
    <t>IDOE ISD Giangreco Hall Water Infiltration Mitigation</t>
  </si>
  <si>
    <t>IDOE ISD Elementary School Roof Replacement</t>
  </si>
  <si>
    <t>IDOE ISD High School Gym Roof Replacement</t>
  </si>
  <si>
    <t>DOC NCCF Powerhouse Water Heater Replacements</t>
  </si>
  <si>
    <t>DOC NCF LU B, C &amp; D Roof Replacements</t>
  </si>
  <si>
    <t>Jennifer K</t>
  </si>
  <si>
    <t>Brad T</t>
  </si>
  <si>
    <t>Project # 9354.00</t>
  </si>
  <si>
    <t>Program code 935400</t>
  </si>
  <si>
    <t>Project Manager - Jennie E</t>
  </si>
  <si>
    <t>Major Program 4B01</t>
  </si>
  <si>
    <t>Project # 9451.00</t>
  </si>
  <si>
    <t>Program code 945100</t>
  </si>
  <si>
    <t>Project Name</t>
  </si>
  <si>
    <t>Project # 9452.00</t>
  </si>
  <si>
    <t>Program code 945200</t>
  </si>
  <si>
    <t>Major Program 4B02</t>
  </si>
  <si>
    <t>Project # 9453.00</t>
  </si>
  <si>
    <t>Program code 945300</t>
  </si>
  <si>
    <t>Project Manager - Jennifer K.</t>
  </si>
  <si>
    <t>Project # 9454.00</t>
  </si>
  <si>
    <t>Program code 9454.00</t>
  </si>
  <si>
    <t>Project # 9455.00</t>
  </si>
  <si>
    <t>Program code 945500</t>
  </si>
  <si>
    <t>Major Program 4F04</t>
  </si>
  <si>
    <t>Project # 9456.00</t>
  </si>
  <si>
    <t>Program code 945600</t>
  </si>
  <si>
    <t>Major Program 4E02</t>
  </si>
  <si>
    <t>Project # 9457.00</t>
  </si>
  <si>
    <t>Program code 945700</t>
  </si>
  <si>
    <t>Project # 9458.00</t>
  </si>
  <si>
    <t>Program code 945800</t>
  </si>
  <si>
    <t>Project # 9459.00</t>
  </si>
  <si>
    <t>Program code 945900</t>
  </si>
  <si>
    <t>Major Program 4F03</t>
  </si>
  <si>
    <t>Project # 9460.00</t>
  </si>
  <si>
    <t>Program code 946000</t>
  </si>
  <si>
    <t>Project Manager - Brad T</t>
  </si>
  <si>
    <t>eDAS   909T</t>
  </si>
  <si>
    <t>eDAS  909Y</t>
  </si>
  <si>
    <t>eDAS  909Z</t>
  </si>
  <si>
    <t>eDAS  910A</t>
  </si>
  <si>
    <t>eDAS  910C</t>
  </si>
  <si>
    <t>eDAS  910B</t>
  </si>
  <si>
    <t>eDAS  910D</t>
  </si>
  <si>
    <t>eDAS  910E</t>
  </si>
  <si>
    <t>eDAS  910F</t>
  </si>
  <si>
    <t>eDAS  910G</t>
  </si>
  <si>
    <t>eDAS  910H</t>
  </si>
  <si>
    <t>Samuels Group</t>
  </si>
  <si>
    <t>PO Procore</t>
  </si>
  <si>
    <t>Acct. Codes-0017-335-MM25-9255</t>
  </si>
  <si>
    <t>Vendor:  00003033402</t>
  </si>
  <si>
    <t>RFP1821335228-Samuels11012021</t>
  </si>
  <si>
    <t>Activity code:  CMGR</t>
  </si>
  <si>
    <t>CM Services:</t>
  </si>
  <si>
    <t xml:space="preserve">Reimbursables: </t>
  </si>
  <si>
    <t>Total:</t>
  </si>
  <si>
    <t>PO 33525256902</t>
  </si>
  <si>
    <t>McGough Construction</t>
  </si>
  <si>
    <r>
      <t>Acct. Codes-0017-335-MM25-</t>
    </r>
    <r>
      <rPr>
        <b/>
        <sz val="11"/>
        <color indexed="10"/>
        <rFont val="Arial"/>
        <family val="2"/>
      </rPr>
      <t>9255</t>
    </r>
  </si>
  <si>
    <t>Vendor:  00003193334</t>
  </si>
  <si>
    <t>RFP1821335228-McGough11012021</t>
  </si>
  <si>
    <t>PO 33525257901</t>
  </si>
  <si>
    <t>Shipping Code 200</t>
  </si>
  <si>
    <t>IET DAS202502115300001</t>
  </si>
  <si>
    <t>Finance Support for August 1-31,2024</t>
  </si>
  <si>
    <t>DAS Services for August 1-31, 2024</t>
  </si>
  <si>
    <t>PO 33525267902</t>
  </si>
  <si>
    <t>PO 33525276905</t>
  </si>
  <si>
    <t>9371.00</t>
  </si>
  <si>
    <t>DPS Post 3 Parking Lot Replacement</t>
  </si>
  <si>
    <t>Project # 9371.00</t>
  </si>
  <si>
    <t>Program code 937100</t>
  </si>
  <si>
    <t>Project Manager - Jennie E.</t>
  </si>
  <si>
    <t>Major Program 4G01</t>
  </si>
  <si>
    <t>eDAS  731L</t>
  </si>
  <si>
    <t>PRC 3352525PA6902</t>
  </si>
  <si>
    <t>Inv. 7718.019454 PC</t>
  </si>
  <si>
    <t>PO 33525283902</t>
  </si>
  <si>
    <t>Shipping Code 231A</t>
  </si>
  <si>
    <t>IET DAS202503115300001</t>
  </si>
  <si>
    <t>Horizon Architecture</t>
  </si>
  <si>
    <t>Acct. Codes-0017-335-MM25-9260</t>
  </si>
  <si>
    <t>Vendor:  00003108847</t>
  </si>
  <si>
    <t>RFP945400-01</t>
  </si>
  <si>
    <t>Activity code:  DSGN</t>
  </si>
  <si>
    <t>PO 33525284903</t>
  </si>
  <si>
    <t>Design Docs</t>
  </si>
  <si>
    <t>Construction Docs</t>
  </si>
  <si>
    <t>Bidding/Negoiation</t>
  </si>
  <si>
    <t>Construction Phase</t>
  </si>
  <si>
    <t>PRC 3352526PA7902</t>
  </si>
  <si>
    <t>Inv. 101174.016-PC01</t>
  </si>
  <si>
    <t>PRC 3352525PA7901</t>
  </si>
  <si>
    <t>Inv. 101174.015-PC01</t>
  </si>
  <si>
    <t>Rapids ReproductionsV#(00002111375)</t>
  </si>
  <si>
    <t>Inv. INVCL1136</t>
  </si>
  <si>
    <t>CNST</t>
  </si>
  <si>
    <t>9500</t>
  </si>
  <si>
    <t>PRC 33525292902</t>
  </si>
  <si>
    <t>PO 33525298908</t>
  </si>
  <si>
    <t xml:space="preserve">  Shipping Code 231A</t>
  </si>
  <si>
    <t>PO 33525298909</t>
  </si>
  <si>
    <t xml:space="preserve">Finance Support for September 1-30,2024 </t>
  </si>
  <si>
    <t>DAS Services for September 1-30,2024</t>
  </si>
  <si>
    <t>Boyd Jones</t>
  </si>
  <si>
    <t>Vendor:  00003193325</t>
  </si>
  <si>
    <t>RFP1821335228-BoydJones11012021</t>
  </si>
  <si>
    <t>PO 33525310906</t>
  </si>
  <si>
    <t>IMEG Corporation</t>
  </si>
  <si>
    <t>PO 33525310907</t>
  </si>
  <si>
    <r>
      <t>Acct. Codes-0017-335-MM25-</t>
    </r>
    <r>
      <rPr>
        <b/>
        <sz val="11"/>
        <color indexed="10"/>
        <rFont val="Arial"/>
        <family val="2"/>
      </rPr>
      <t>9260</t>
    </r>
  </si>
  <si>
    <t>Vendor:  00003224175</t>
  </si>
  <si>
    <t>RFP945900-01</t>
  </si>
  <si>
    <t>Bidding/Negotiation Assistance</t>
  </si>
  <si>
    <t>DOC MPCF SouthCore &amp; East/West Staircase Tuckpointing</t>
  </si>
  <si>
    <t>DOC CCF Tunnel Repair/Replace Main Bldg to SW Wing</t>
  </si>
  <si>
    <t>DOC IMCC Fire Alarm System Replacement</t>
  </si>
  <si>
    <t>Brad T.</t>
  </si>
  <si>
    <t>9442.00</t>
  </si>
  <si>
    <t>9443.00</t>
  </si>
  <si>
    <t>9444.00</t>
  </si>
  <si>
    <t>9445.00</t>
  </si>
  <si>
    <t>Project # 9442.00</t>
  </si>
  <si>
    <t>Program code 944200</t>
  </si>
  <si>
    <t>Project # 9443.00</t>
  </si>
  <si>
    <t>Program code 944300</t>
  </si>
  <si>
    <t>Project # 9444.00</t>
  </si>
  <si>
    <t>Program code 944400</t>
  </si>
  <si>
    <t>Project Manager - Brad T.</t>
  </si>
  <si>
    <t>Project # 9445.00</t>
  </si>
  <si>
    <t>Program code 944500</t>
  </si>
  <si>
    <t>PRC 3352531PA0906</t>
  </si>
  <si>
    <t>Inv. 9460.00-01</t>
  </si>
  <si>
    <t>PRC 3352528PA4903</t>
  </si>
  <si>
    <t>Inv. 9454.00-01</t>
  </si>
  <si>
    <t>PRC 3352525PB6902</t>
  </si>
  <si>
    <t>Inv. 7718.029454 PC</t>
  </si>
  <si>
    <t>PRC 3352529PA8909</t>
  </si>
  <si>
    <t>Inv. 7734.01945600</t>
  </si>
  <si>
    <t>PRC 3352528PA3902</t>
  </si>
  <si>
    <t>Inv. 7729.01945500</t>
  </si>
  <si>
    <t>PO 33525312906</t>
  </si>
  <si>
    <t>CM Services</t>
  </si>
  <si>
    <t>Reimbursables</t>
  </si>
  <si>
    <t>Total</t>
  </si>
  <si>
    <t>Shipping Code 177</t>
  </si>
  <si>
    <t>DCI Group</t>
  </si>
  <si>
    <t>Vendor:  00003025029</t>
  </si>
  <si>
    <t>RFP1821335228-DCI11012021</t>
  </si>
  <si>
    <t>IET DAS202504115300001</t>
  </si>
  <si>
    <t xml:space="preserve">Finance Support for October 1-31,2024 </t>
  </si>
  <si>
    <t>DAS Services for October 1-31,2024</t>
  </si>
  <si>
    <t>PRC 3352526PB7902</t>
  </si>
  <si>
    <t>Inv. 101174.016-PC02</t>
  </si>
  <si>
    <t>eDAS 731P</t>
  </si>
  <si>
    <t>eDAS 731Q</t>
  </si>
  <si>
    <t xml:space="preserve">  eDAS 731R</t>
  </si>
  <si>
    <t>eDAS 731S</t>
  </si>
  <si>
    <t> DAS TH HVAC Repairs</t>
  </si>
  <si>
    <t>Project # 9447.00</t>
  </si>
  <si>
    <t>Program code 944700</t>
  </si>
  <si>
    <t>Project Manager -James T.</t>
  </si>
  <si>
    <t>Major Program 4D04</t>
  </si>
  <si>
    <t>DAS TH Residence Roof, Porch, &amp; South Garden Wall Repairs</t>
  </si>
  <si>
    <t>Project # 9448.00</t>
  </si>
  <si>
    <t>Program code 944800</t>
  </si>
  <si>
    <t>Project Manager - James T.</t>
  </si>
  <si>
    <t>DAS TH Carriage House Roof Replacement</t>
  </si>
  <si>
    <t>Project # 9449.00</t>
  </si>
  <si>
    <t>Program code 944900</t>
  </si>
  <si>
    <t>9447.00</t>
  </si>
  <si>
    <t>9448.00</t>
  </si>
  <si>
    <t>9449.00</t>
  </si>
  <si>
    <t>James T.</t>
  </si>
  <si>
    <t>PRC 3352525PB7901</t>
  </si>
  <si>
    <t>Inv. 101174.015-PC02</t>
  </si>
  <si>
    <t xml:space="preserve"> eDAS 731V</t>
  </si>
  <si>
    <t>eDAS 731W</t>
  </si>
  <si>
    <t>eDAS 731X</t>
  </si>
  <si>
    <t>RFP945100-01</t>
  </si>
  <si>
    <t>Shipping Code 163</t>
  </si>
  <si>
    <t>PO 33525320904</t>
  </si>
  <si>
    <t>Construction Documents</t>
  </si>
  <si>
    <t>Bidding/Negtiation</t>
  </si>
  <si>
    <t>OPN Architects</t>
  </si>
  <si>
    <t>Vendor:  00003035830</t>
  </si>
  <si>
    <t>RFP945500-01</t>
  </si>
  <si>
    <t>PO 33525320905</t>
  </si>
  <si>
    <t>PO 33525320903</t>
  </si>
  <si>
    <t>Shipping Code:  175</t>
  </si>
  <si>
    <t>PO 33525324900</t>
  </si>
  <si>
    <t>PRC 3352527PA6905</t>
  </si>
  <si>
    <t>Inv. 101174.019PC-01</t>
  </si>
  <si>
    <t>Genesis Architectural</t>
  </si>
  <si>
    <t>Genesis Architecural</t>
  </si>
  <si>
    <t>Vendor:  00002092152</t>
  </si>
  <si>
    <t>RFP954300-01</t>
  </si>
  <si>
    <t>PO 33525327904</t>
  </si>
  <si>
    <t>Bidding Phase</t>
  </si>
  <si>
    <t>PO 33525327905</t>
  </si>
  <si>
    <t>PO 33525338903</t>
  </si>
  <si>
    <t>Shipping Code:  165</t>
  </si>
  <si>
    <t>PRC 3352528PB4903</t>
  </si>
  <si>
    <t>Inv. 9454.00-02</t>
  </si>
  <si>
    <t>RFP946000-01</t>
  </si>
  <si>
    <t>PO 33525339903</t>
  </si>
  <si>
    <t>Schematic Design Docs</t>
  </si>
  <si>
    <t>Design Development Docs</t>
  </si>
  <si>
    <t>Bidding Assistance</t>
  </si>
  <si>
    <t>Shipping Code 174</t>
  </si>
  <si>
    <t>Metro Driveway Replacement</t>
  </si>
  <si>
    <t>Vendor:  00003224688</t>
  </si>
  <si>
    <t>RFB937100-01</t>
  </si>
  <si>
    <t>Activity code:  BRUM</t>
  </si>
  <si>
    <t>PO 33525339906</t>
  </si>
  <si>
    <t>HHS STS A.E. Sheperd AC Replacement</t>
  </si>
  <si>
    <t>PRC 3352532PA7905</t>
  </si>
  <si>
    <t>Inv. 7739.51937100</t>
  </si>
  <si>
    <t>PRC 3352528PB3902</t>
  </si>
  <si>
    <t>Inv. 7729.02945500</t>
  </si>
  <si>
    <t>PRC 3352532PA4900</t>
  </si>
  <si>
    <t>Inv. 9445.01 PC</t>
  </si>
  <si>
    <t>PRC 3352525PC6902</t>
  </si>
  <si>
    <t>Inv. 7718.039454 PC</t>
  </si>
  <si>
    <t>PO 33525345900</t>
  </si>
  <si>
    <t>Shipping Code:  003</t>
  </si>
  <si>
    <t>IET DAS202505115300001</t>
  </si>
  <si>
    <t>Finance Support for November 1-30 2024</t>
  </si>
  <si>
    <t>DAS Support for November 1-30 2024</t>
  </si>
  <si>
    <t>McGoughConstruction</t>
  </si>
  <si>
    <t>PO 33525347907</t>
  </si>
  <si>
    <t>Shipping Code:  171</t>
  </si>
  <si>
    <t>PO 33525347908</t>
  </si>
  <si>
    <t>PRC 3352531PB0906</t>
  </si>
  <si>
    <t>Inv. 9460.00-02</t>
  </si>
  <si>
    <t>PO 33525351903</t>
  </si>
  <si>
    <t>PO 33525351904</t>
  </si>
  <si>
    <t>Shipping Code: 003</t>
  </si>
  <si>
    <t>PRC 3352526PC7902</t>
  </si>
  <si>
    <t>Inv. 101174.016-PC03</t>
  </si>
  <si>
    <t>PRC 3352527PB6905</t>
  </si>
  <si>
    <t>Inv. 101174.019PC-02</t>
  </si>
  <si>
    <t>PRC 3352525PC7901</t>
  </si>
  <si>
    <t>Inv. 101174.015-PC03</t>
  </si>
  <si>
    <t>PRC 3352532PA0904</t>
  </si>
  <si>
    <t>Inv. 24006748.00-1</t>
  </si>
  <si>
    <t>PRC 33525355900</t>
  </si>
  <si>
    <t>Inv. R8510</t>
  </si>
  <si>
    <t>Shipping Code: 169</t>
  </si>
  <si>
    <t>Brockway Mechanical V#(00002116146)</t>
  </si>
  <si>
    <t>DOC MPCF Appliance, Carpentry, Paint, &amp; Powerhouse Window Replacements</t>
  </si>
  <si>
    <t>9462.00</t>
  </si>
  <si>
    <t>9463.00</t>
  </si>
  <si>
    <t>DOE ISD Parking Lot Repair</t>
  </si>
  <si>
    <t>HHS WRC Birches Window Replacement</t>
  </si>
  <si>
    <t>Project # 9462.00</t>
  </si>
  <si>
    <t>Program code 946200</t>
  </si>
  <si>
    <t>Major Program 3G01</t>
  </si>
  <si>
    <t>Project # 9463.00</t>
  </si>
  <si>
    <t>Program code 946300</t>
  </si>
  <si>
    <t>eDAS  910Q</t>
  </si>
  <si>
    <t>eDAS 910R</t>
  </si>
  <si>
    <t>PO 33525362903</t>
  </si>
  <si>
    <t>RFP944800-01</t>
  </si>
  <si>
    <t>PO 33525362904</t>
  </si>
  <si>
    <t>PO 33525362905</t>
  </si>
  <si>
    <t>Bidding/Negotiation</t>
  </si>
  <si>
    <t>Innovative Engineers</t>
  </si>
  <si>
    <t>Vendor:  00003080298</t>
  </si>
  <si>
    <t>RFP945200-01</t>
  </si>
  <si>
    <t>PO 33525362906</t>
  </si>
  <si>
    <t>Close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</si>
</sst>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  <numFmt numFmtId="167" formatCode="_(&quot;$&quot;* #,##0_);_(&quot;$&quot;* \(#,##0\);_(&quot;$&quot;* &quot;-&quot;??_);_(@_)"/>
  </numFmts>
  <fonts count="4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1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00CC"/>
      <name val="Arial"/>
      <family val="2"/>
    </font>
    <font>
      <sz val="12"/>
      <color rgb="FF222222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9" tint="0.39997558519241921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20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21" fillId="0" borderId="0" xfId="6" applyFont="1"/>
    <xf numFmtId="164" fontId="21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2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3" fillId="0" borderId="0" xfId="4" applyNumberFormat="1" applyFont="1" applyFill="1" applyBorder="1"/>
    <xf numFmtId="0" fontId="24" fillId="0" borderId="0" xfId="4" applyFont="1"/>
    <xf numFmtId="40" fontId="22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2" fillId="0" borderId="0" xfId="4" applyNumberFormat="1" applyFont="1"/>
    <xf numFmtId="40" fontId="22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5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6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7" fillId="0" borderId="0" xfId="0" applyFont="1" applyBorder="1"/>
    <xf numFmtId="40" fontId="5" fillId="0" borderId="0" xfId="5" applyNumberFormat="1" applyFont="1" applyAlignment="1">
      <alignment horizontal="center"/>
    </xf>
    <xf numFmtId="40" fontId="28" fillId="0" borderId="0" xfId="5" applyNumberFormat="1" applyFont="1"/>
    <xf numFmtId="40" fontId="5" fillId="0" borderId="0" xfId="5" applyNumberFormat="1" applyFont="1"/>
    <xf numFmtId="0" fontId="29" fillId="0" borderId="0" xfId="0" applyFont="1"/>
    <xf numFmtId="0" fontId="22" fillId="0" borderId="1" xfId="5" applyFont="1" applyBorder="1" applyAlignment="1">
      <alignment horizontal="center" textRotation="90" wrapText="1"/>
    </xf>
    <xf numFmtId="49" fontId="22" fillId="0" borderId="1" xfId="1" applyNumberFormat="1" applyFont="1" applyBorder="1" applyAlignment="1">
      <alignment horizontal="center" textRotation="90" wrapText="1"/>
    </xf>
    <xf numFmtId="40" fontId="22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5" fillId="0" borderId="0" xfId="5" applyNumberFormat="1" applyFont="1" applyBorder="1"/>
    <xf numFmtId="0" fontId="5" fillId="3" borderId="0" xfId="5" applyFont="1" applyFill="1" applyAlignment="1">
      <alignment horizontal="center"/>
    </xf>
    <xf numFmtId="49" fontId="5" fillId="3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3" borderId="0" xfId="5" applyNumberFormat="1" applyFont="1" applyFill="1" applyAlignment="1">
      <alignment horizontal="center"/>
    </xf>
    <xf numFmtId="40" fontId="5" fillId="3" borderId="0" xfId="5" applyNumberFormat="1" applyFont="1" applyFill="1"/>
    <xf numFmtId="0" fontId="29" fillId="3" borderId="0" xfId="0" applyFont="1" applyFill="1"/>
    <xf numFmtId="0" fontId="5" fillId="0" borderId="3" xfId="5" applyFont="1" applyFill="1" applyBorder="1" applyAlignment="1">
      <alignment horizontal="center"/>
    </xf>
    <xf numFmtId="49" fontId="5" fillId="0" borderId="3" xfId="5" applyNumberFormat="1" applyFont="1" applyFill="1" applyBorder="1" applyAlignment="1">
      <alignment horizontal="center"/>
    </xf>
    <xf numFmtId="0" fontId="2" fillId="0" borderId="3" xfId="5" applyFont="1" applyFill="1" applyBorder="1"/>
    <xf numFmtId="40" fontId="5" fillId="0" borderId="3" xfId="5" applyNumberFormat="1" applyFont="1" applyFill="1" applyBorder="1" applyAlignment="1">
      <alignment horizontal="center"/>
    </xf>
    <xf numFmtId="40" fontId="31" fillId="0" borderId="3" xfId="5" applyNumberFormat="1" applyFont="1" applyFill="1" applyBorder="1" applyAlignment="1">
      <alignment horizontal="center" vertical="center"/>
    </xf>
    <xf numFmtId="40" fontId="31" fillId="0" borderId="3" xfId="5" applyNumberFormat="1" applyFont="1" applyFill="1" applyBorder="1" applyAlignment="1">
      <alignment horizontal="center" wrapText="1"/>
    </xf>
    <xf numFmtId="0" fontId="29" fillId="0" borderId="0" xfId="0" applyFont="1" applyFill="1"/>
    <xf numFmtId="0" fontId="5" fillId="0" borderId="0" xfId="5" applyFont="1" applyFill="1"/>
    <xf numFmtId="0" fontId="5" fillId="0" borderId="3" xfId="5" applyFont="1" applyFill="1" applyBorder="1"/>
    <xf numFmtId="39" fontId="5" fillId="0" borderId="3" xfId="2" applyNumberFormat="1" applyFont="1" applyFill="1" applyBorder="1" applyAlignment="1">
      <alignment horizontal="center"/>
    </xf>
    <xf numFmtId="0" fontId="5" fillId="0" borderId="3" xfId="5" applyFont="1" applyFill="1" applyBorder="1" applyAlignment="1">
      <alignment wrapText="1"/>
    </xf>
    <xf numFmtId="8" fontId="5" fillId="0" borderId="3" xfId="2" applyNumberFormat="1" applyFont="1" applyFill="1" applyBorder="1" applyAlignment="1">
      <alignment horizontal="center"/>
    </xf>
    <xf numFmtId="0" fontId="32" fillId="4" borderId="4" xfId="0" applyFont="1" applyFill="1" applyBorder="1" applyAlignment="1">
      <alignment wrapText="1"/>
    </xf>
    <xf numFmtId="0" fontId="22" fillId="0" borderId="3" xfId="5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2" fillId="0" borderId="3" xfId="0" applyFont="1" applyBorder="1"/>
    <xf numFmtId="0" fontId="34" fillId="0" borderId="0" xfId="0" applyFont="1"/>
    <xf numFmtId="0" fontId="22" fillId="0" borderId="3" xfId="0" applyFont="1" applyBorder="1" applyAlignment="1">
      <alignment horizontal="center"/>
    </xf>
    <xf numFmtId="2" fontId="5" fillId="0" borderId="3" xfId="5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wrapText="1"/>
    </xf>
    <xf numFmtId="0" fontId="33" fillId="0" borderId="0" xfId="0" applyFont="1"/>
    <xf numFmtId="40" fontId="5" fillId="0" borderId="3" xfId="5" applyNumberFormat="1" applyFont="1" applyBorder="1" applyAlignment="1">
      <alignment horizontal="center"/>
    </xf>
    <xf numFmtId="40" fontId="5" fillId="0" borderId="5" xfId="5" applyNumberFormat="1" applyFont="1" applyBorder="1" applyAlignment="1">
      <alignment horizontal="center"/>
    </xf>
    <xf numFmtId="49" fontId="5" fillId="0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40" fontId="30" fillId="0" borderId="5" xfId="0" applyNumberFormat="1" applyFont="1" applyBorder="1" applyAlignment="1">
      <alignment horizontal="center"/>
    </xf>
    <xf numFmtId="8" fontId="2" fillId="0" borderId="5" xfId="5" applyNumberFormat="1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49" fontId="5" fillId="0" borderId="9" xfId="5" applyNumberFormat="1" applyFont="1" applyBorder="1" applyAlignment="1">
      <alignment horizontal="center"/>
    </xf>
    <xf numFmtId="0" fontId="5" fillId="0" borderId="9" xfId="5" applyFont="1" applyBorder="1"/>
    <xf numFmtId="40" fontId="5" fillId="0" borderId="9" xfId="5" applyNumberFormat="1" applyFont="1" applyBorder="1" applyAlignment="1">
      <alignment horizontal="center"/>
    </xf>
    <xf numFmtId="8" fontId="5" fillId="0" borderId="9" xfId="5" applyNumberFormat="1" applyFont="1" applyBorder="1" applyAlignment="1">
      <alignment horizontal="center"/>
    </xf>
    <xf numFmtId="8" fontId="29" fillId="0" borderId="9" xfId="0" applyNumberFormat="1" applyFont="1" applyBorder="1" applyAlignment="1">
      <alignment horizontal="center"/>
    </xf>
    <xf numFmtId="8" fontId="29" fillId="0" borderId="10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9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30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11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9" fillId="0" borderId="0" xfId="0" applyNumberFormat="1" applyFont="1" applyAlignment="1">
      <alignment horizontal="center"/>
    </xf>
    <xf numFmtId="0" fontId="2" fillId="0" borderId="0" xfId="5" applyFont="1"/>
    <xf numFmtId="0" fontId="29" fillId="0" borderId="0" xfId="0" applyFont="1" applyAlignment="1">
      <alignment horizontal="center"/>
    </xf>
    <xf numFmtId="0" fontId="29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2" fillId="0" borderId="0" xfId="5" applyNumberFormat="1" applyFont="1" applyBorder="1" applyAlignment="1">
      <alignment horizontal="center"/>
    </xf>
    <xf numFmtId="40" fontId="24" fillId="0" borderId="0" xfId="5" applyNumberFormat="1" applyFont="1" applyBorder="1" applyAlignment="1">
      <alignment horizontal="right"/>
    </xf>
    <xf numFmtId="0" fontId="14" fillId="0" borderId="0" xfId="0" applyFont="1"/>
    <xf numFmtId="40" fontId="5" fillId="0" borderId="0" xfId="5" applyNumberFormat="1" applyFont="1" applyAlignment="1">
      <alignment horizontal="right"/>
    </xf>
    <xf numFmtId="40" fontId="2" fillId="0" borderId="0" xfId="0" applyNumberFormat="1" applyFont="1"/>
    <xf numFmtId="40" fontId="35" fillId="0" borderId="0" xfId="5" applyNumberFormat="1" applyFont="1"/>
    <xf numFmtId="40" fontId="5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" fontId="19" fillId="0" borderId="0" xfId="2" applyNumberFormat="1" applyFont="1"/>
    <xf numFmtId="0" fontId="0" fillId="0" borderId="0" xfId="0" applyAlignment="1">
      <alignment horizontal="center"/>
    </xf>
    <xf numFmtId="44" fontId="19" fillId="0" borderId="0" xfId="2" applyFont="1"/>
    <xf numFmtId="164" fontId="36" fillId="0" borderId="0" xfId="0" applyNumberFormat="1" applyFont="1"/>
    <xf numFmtId="49" fontId="15" fillId="0" borderId="0" xfId="0" applyNumberFormat="1" applyFont="1" applyAlignment="1">
      <alignment horizontal="center"/>
    </xf>
    <xf numFmtId="44" fontId="15" fillId="0" borderId="0" xfId="2" applyFont="1"/>
    <xf numFmtId="49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4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2" fillId="0" borderId="1" xfId="2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44" fontId="5" fillId="0" borderId="0" xfId="2" applyFont="1" applyAlignment="1">
      <alignment horizontal="right"/>
    </xf>
    <xf numFmtId="44" fontId="5" fillId="0" borderId="0" xfId="2" applyFont="1" applyAlignment="1">
      <alignment horizontal="right" wrapText="1"/>
    </xf>
    <xf numFmtId="1" fontId="25" fillId="0" borderId="0" xfId="0" applyNumberFormat="1" applyFont="1" applyAlignment="1">
      <alignment horizontal="center"/>
    </xf>
    <xf numFmtId="14" fontId="5" fillId="0" borderId="0" xfId="2" applyNumberFormat="1" applyFont="1" applyAlignment="1">
      <alignment horizontal="center"/>
    </xf>
    <xf numFmtId="44" fontId="37" fillId="0" borderId="0" xfId="2" applyNumberFormat="1" applyFont="1"/>
    <xf numFmtId="44" fontId="37" fillId="0" borderId="0" xfId="2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43" fontId="37" fillId="0" borderId="0" xfId="1" applyNumberFormat="1" applyFont="1" applyAlignment="1">
      <alignment horizontal="center"/>
    </xf>
    <xf numFmtId="43" fontId="37" fillId="0" borderId="0" xfId="2" applyNumberFormat="1" applyFont="1" applyAlignment="1">
      <alignment horizontal="right"/>
    </xf>
    <xf numFmtId="164" fontId="2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9" fontId="5" fillId="0" borderId="0" xfId="2" applyNumberFormat="1" applyFont="1" applyAlignment="1"/>
    <xf numFmtId="0" fontId="25" fillId="0" borderId="0" xfId="0" applyFont="1" applyAlignment="1">
      <alignment horizontal="center"/>
    </xf>
    <xf numFmtId="44" fontId="37" fillId="0" borderId="0" xfId="0" applyNumberFormat="1" applyFont="1"/>
    <xf numFmtId="4" fontId="5" fillId="0" borderId="0" xfId="0" applyNumberFormat="1" applyFont="1" applyAlignment="1">
      <alignment horizontal="right"/>
    </xf>
    <xf numFmtId="44" fontId="2" fillId="0" borderId="0" xfId="0" applyNumberFormat="1" applyFont="1"/>
    <xf numFmtId="44" fontId="2" fillId="0" borderId="0" xfId="2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44" fontId="2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4" fontId="25" fillId="0" borderId="0" xfId="2" applyNumberFormat="1" applyFont="1"/>
    <xf numFmtId="0" fontId="25" fillId="0" borderId="0" xfId="0" applyFont="1" applyFill="1" applyAlignment="1">
      <alignment horizontal="center" wrapText="1"/>
    </xf>
    <xf numFmtId="44" fontId="2" fillId="0" borderId="0" xfId="2" applyNumberFormat="1" applyFont="1"/>
    <xf numFmtId="44" fontId="5" fillId="0" borderId="0" xfId="2" applyNumberFormat="1" applyFont="1"/>
    <xf numFmtId="0" fontId="25" fillId="0" borderId="0" xfId="0" applyFont="1" applyAlignment="1">
      <alignment horizontal="center" wrapText="1"/>
    </xf>
    <xf numFmtId="0" fontId="25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" fontId="2" fillId="0" borderId="2" xfId="2" applyNumberFormat="1" applyFont="1" applyBorder="1"/>
    <xf numFmtId="0" fontId="2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4" fontId="29" fillId="0" borderId="0" xfId="0" applyNumberFormat="1" applyFont="1"/>
    <xf numFmtId="4" fontId="30" fillId="0" borderId="0" xfId="0" applyNumberFormat="1" applyFont="1" applyAlignment="1">
      <alignment horizontal="center" wrapText="1"/>
    </xf>
    <xf numFmtId="4" fontId="29" fillId="0" borderId="0" xfId="0" applyNumberFormat="1" applyFont="1" applyFill="1"/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7" fillId="0" borderId="0" xfId="4" applyNumberFormat="1" applyFont="1" applyAlignment="1">
      <alignment horizontal="center"/>
    </xf>
    <xf numFmtId="40" fontId="2" fillId="0" borderId="0" xfId="4" applyNumberFormat="1" applyFont="1"/>
    <xf numFmtId="0" fontId="38" fillId="0" borderId="0" xfId="0" applyFont="1" applyAlignment="1">
      <alignment horizontal="center"/>
    </xf>
    <xf numFmtId="4" fontId="37" fillId="0" borderId="0" xfId="4" applyNumberFormat="1" applyFont="1"/>
    <xf numFmtId="164" fontId="25" fillId="0" borderId="0" xfId="4" applyNumberFormat="1" applyFont="1"/>
    <xf numFmtId="43" fontId="25" fillId="0" borderId="0" xfId="1" applyFont="1"/>
    <xf numFmtId="164" fontId="30" fillId="0" borderId="0" xfId="4" applyNumberFormat="1" applyFont="1"/>
    <xf numFmtId="44" fontId="30" fillId="0" borderId="2" xfId="2" applyFont="1" applyBorder="1"/>
    <xf numFmtId="44" fontId="30" fillId="0" borderId="0" xfId="2" applyFont="1"/>
    <xf numFmtId="4" fontId="4" fillId="0" borderId="0" xfId="6" applyNumberFormat="1" applyFont="1"/>
    <xf numFmtId="49" fontId="5" fillId="0" borderId="0" xfId="4" applyNumberFormat="1" applyFont="1" applyFill="1" applyBorder="1" applyAlignment="1">
      <alignment horizontal="left"/>
    </xf>
    <xf numFmtId="4" fontId="37" fillId="0" borderId="0" xfId="4" applyNumberFormat="1" applyFont="1" applyAlignment="1">
      <alignment horizontal="right"/>
    </xf>
    <xf numFmtId="40" fontId="2" fillId="5" borderId="0" xfId="5" applyNumberFormat="1" applyFont="1" applyFill="1" applyBorder="1"/>
    <xf numFmtId="40" fontId="2" fillId="5" borderId="11" xfId="5" applyNumberFormat="1" applyFont="1" applyFill="1" applyBorder="1" applyAlignment="1">
      <alignment horizontal="right"/>
    </xf>
    <xf numFmtId="40" fontId="2" fillId="5" borderId="2" xfId="5" applyNumberFormat="1" applyFont="1" applyFill="1" applyBorder="1" applyAlignment="1">
      <alignment horizontal="right"/>
    </xf>
    <xf numFmtId="40" fontId="2" fillId="5" borderId="0" xfId="5" applyNumberFormat="1" applyFont="1" applyFill="1" applyBorder="1" applyAlignment="1">
      <alignment horizontal="right"/>
    </xf>
    <xf numFmtId="40" fontId="2" fillId="5" borderId="12" xfId="5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wrapText="1"/>
    </xf>
    <xf numFmtId="164" fontId="39" fillId="0" borderId="0" xfId="4" applyNumberFormat="1" applyFont="1" applyBorder="1" applyAlignment="1">
      <alignment horizontal="left"/>
    </xf>
    <xf numFmtId="0" fontId="40" fillId="0" borderId="0" xfId="4" applyFont="1" applyAlignment="1">
      <alignment horizontal="center"/>
    </xf>
    <xf numFmtId="0" fontId="41" fillId="0" borderId="0" xfId="0" applyFont="1"/>
    <xf numFmtId="44" fontId="2" fillId="0" borderId="0" xfId="2" applyFont="1" applyBorder="1"/>
    <xf numFmtId="164" fontId="25" fillId="0" borderId="0" xfId="4" applyNumberFormat="1" applyFont="1" applyBorder="1"/>
    <xf numFmtId="43" fontId="25" fillId="0" borderId="0" xfId="1" applyFont="1" applyBorder="1"/>
    <xf numFmtId="164" fontId="30" fillId="0" borderId="0" xfId="4" applyNumberFormat="1" applyFont="1" applyBorder="1"/>
    <xf numFmtId="44" fontId="30" fillId="0" borderId="0" xfId="2" applyFont="1" applyBorder="1"/>
    <xf numFmtId="164" fontId="5" fillId="0" borderId="0" xfId="4" applyNumberFormat="1" applyFont="1" applyBorder="1"/>
    <xf numFmtId="4" fontId="5" fillId="0" borderId="0" xfId="4" applyNumberFormat="1" applyFont="1" applyBorder="1"/>
    <xf numFmtId="166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0" xfId="0" applyFont="1"/>
    <xf numFmtId="0" fontId="25" fillId="0" borderId="0" xfId="0" applyFont="1" applyFill="1"/>
    <xf numFmtId="40" fontId="5" fillId="0" borderId="0" xfId="4" applyNumberFormat="1" applyFont="1" applyAlignment="1">
      <alignment horizontal="left"/>
    </xf>
    <xf numFmtId="167" fontId="42" fillId="0" borderId="0" xfId="3" applyNumberFormat="1" applyFont="1" applyFill="1" applyBorder="1" applyAlignment="1" applyProtection="1">
      <alignment horizontal="center" wrapText="1"/>
      <protection locked="0"/>
    </xf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externalLink" Target="externalLinks/externalLink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495300</xdr:colOff>
      <xdr:row>22</xdr:row>
      <xdr:rowOff>83820</xdr:rowOff>
    </xdr:to>
    <xdr:pic>
      <xdr:nvPicPr>
        <xdr:cNvPr id="1051" name="Picture 1">
          <a:extLst>
            <a:ext uri="{FF2B5EF4-FFF2-40B4-BE49-F238E27FC236}">
              <a16:creationId xmlns:a16="http://schemas.microsoft.com/office/drawing/2014/main" id="{D10469A1-3DBB-44BD-B590-CE643C10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68100" cy="410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18</xdr:col>
      <xdr:colOff>99060</xdr:colOff>
      <xdr:row>66</xdr:row>
      <xdr:rowOff>83820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id="{70B40D47-886D-4FA4-833C-755DE12B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20"/>
          <a:ext cx="11071860" cy="776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S%20Shared%20Perm/GSE%20Infrastructure/MOU%20Project%20Improvements%20(DA20)%200506/MOU%20Project%20Improvements%20DA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"/>
      <sheetName val="RECAP #8982.01"/>
      <sheetName val="#8982.01 Funds Rec'd"/>
      <sheetName val="#8982.01 Shive Hattery"/>
      <sheetName val="#8982.01 PM TIME"/>
      <sheetName val="#8982.01 EADOCBR"/>
      <sheetName val="#8982.01 Misc"/>
      <sheetName val="#8982.01 Tri City (2)"/>
      <sheetName val="#8982.01 Story Construction"/>
      <sheetName val="#8982.01 Hilsabeck"/>
      <sheetName val="#8982.01 Story Construction (2)"/>
      <sheetName val="RECAP #8983.01"/>
      <sheetName val="#8983.01 Funds Rec'd"/>
      <sheetName val="#8983.01 Tri-City"/>
      <sheetName val="#8983.01 PM TIME"/>
      <sheetName val="#8983.01 EADOCBR"/>
      <sheetName val="#8983.01 Misc"/>
      <sheetName val="#8983.01 Eick &amp; Day"/>
      <sheetName val="#8983.01 Modern Electrical"/>
      <sheetName val="#8983.01 Trinity"/>
      <sheetName val="#8983.01 Trinity (2)"/>
      <sheetName val="RECAP #9006.01"/>
      <sheetName val="#9006.01 Funds Rec'd"/>
      <sheetName val="#9006.01 American Piping"/>
      <sheetName val="#9006.01 PM TIME"/>
      <sheetName val="#9006.01 EADOCBR"/>
      <sheetName val="#9006.01 Misc"/>
      <sheetName val="RECAP #9051.00"/>
      <sheetName val="#9051.00 Funds Rec'd"/>
      <sheetName val="#9051.00 Baker Group"/>
      <sheetName val="#9051.00 PM TIME"/>
      <sheetName val="#9051.00 EADOCBR"/>
      <sheetName val="#9051.00 Misc"/>
      <sheetName val="#9051.00 Lang Construction"/>
      <sheetName val="#9051.00 DCI Group CA 18-033.1"/>
      <sheetName val="#9051.00 Invision Architecture"/>
      <sheetName val="#9051.00 Pleva"/>
      <sheetName val="#9051.00 ECCO"/>
      <sheetName val="#9051.00 Summit"/>
      <sheetName val="#9051.00 Clark Glass"/>
      <sheetName val="#9051.00 Allied"/>
      <sheetName val="#9051.00 Team Services"/>
      <sheetName val="#9051.00 Keystone Construction"/>
      <sheetName val="RECAP #9090.00"/>
      <sheetName val="#9090.00 Funds Rec'd"/>
      <sheetName val="#9090.00 Jasper Construction"/>
      <sheetName val="#9090.00 PM TIME"/>
      <sheetName val="#9090.00 BR"/>
      <sheetName val="#9090.00 Misc"/>
      <sheetName val="RECAP #9093.00"/>
      <sheetName val="#9093.00 Funds Rec'd"/>
      <sheetName val="#9093.00 Shive Hattery"/>
      <sheetName val="#9093.00 PM TIME"/>
      <sheetName val="#9093.00 EADOCBR"/>
      <sheetName val="#9093.00 Misc"/>
      <sheetName val="#9093.00 DCI Group"/>
      <sheetName val="#9093.00 All Star Concrete"/>
      <sheetName val="#9093.00 Van Maanen"/>
      <sheetName val="#9093.00 Terracon"/>
      <sheetName val="#9093.00 Pierce Construction"/>
      <sheetName val="RECAP #9097.00"/>
      <sheetName val="#9097.00 Funds Rec'd"/>
      <sheetName val="#9097.00 Van Maanen Electric"/>
      <sheetName val="#9097.00 PM TIME"/>
      <sheetName val="#9097.00 EADOCBR"/>
      <sheetName val="#9097.00 Misc"/>
      <sheetName val="RECAP #9116.00"/>
      <sheetName val="#9116.00 Funds Rec'd"/>
      <sheetName val="#9116.00 Shive Hattery"/>
      <sheetName val="#9116.00 PM TIME"/>
      <sheetName val="#9116.00 EADOCBR"/>
      <sheetName val="#9116.00 Misc"/>
      <sheetName val="RECAP #9116.01"/>
      <sheetName val="#9116.01 Funds Rec'd"/>
      <sheetName val="#9116.01 Shive Hattery"/>
      <sheetName val="#9116.01 PM TIME"/>
      <sheetName val="#9116.01 EADOCBR"/>
      <sheetName val="#9116.01 Misc"/>
      <sheetName val="RECAP #9117.00"/>
      <sheetName val="#9117.00 Funds Rec'd"/>
      <sheetName val="#9117.00 DCI Group"/>
      <sheetName val="#9117.00 PM TIME"/>
      <sheetName val="#9117.00 EADOCBR"/>
      <sheetName val="#9117.00 Misc"/>
      <sheetName val="#9117.00 Jeffrey L. Bruce"/>
      <sheetName val="#9117.00 Kline Electric"/>
      <sheetName val="#9117.00 Joiner Construction"/>
      <sheetName val="#9117.00 DCI Group (2)"/>
      <sheetName val="RECAP #9118.00"/>
      <sheetName val="#9118.00 Funds Rec'd"/>
      <sheetName val="#9118.00 DCI Group"/>
      <sheetName val="#9118.00 PM TIME"/>
      <sheetName val="#9118.00 EADOCBR"/>
      <sheetName val="#9118.00 Misc"/>
      <sheetName val="#9118.00 KCL Engineering"/>
      <sheetName val="#9118.00 SystemWorks"/>
      <sheetName val="#9118.00 Siemens Industry"/>
      <sheetName val="#9118.00 Hay Construction"/>
      <sheetName val="#9118.00 Baker Group"/>
      <sheetName val="#9118.00 DCI Group (2)"/>
      <sheetName val="#9118.00 Baker Group (2)"/>
      <sheetName val="#9118.00 Controlled Asbestos"/>
      <sheetName val="#9118.00 Commonwealth Electric"/>
      <sheetName val="#9118.00 ATC Group Services"/>
      <sheetName val="#9118.00 AJ Allen Mechanical"/>
      <sheetName val="#9118.00 DCI Group (3)"/>
      <sheetName val="RECAP #9119.00"/>
      <sheetName val="#9119.00 Funds Rec'd"/>
      <sheetName val="#9119.00 Vendor A"/>
      <sheetName val="#9119.00 PM TIME"/>
      <sheetName val="#9119.00 EADOCBR"/>
      <sheetName val="#9119.00 Misc"/>
      <sheetName val="RECAP #9128.00"/>
      <sheetName val="#9128.00 Funds Rec'd"/>
      <sheetName val="#9128.00 Ryan Companies"/>
      <sheetName val="#9128.00 PM TIME"/>
      <sheetName val="#9128.00 EADOCBR"/>
      <sheetName val="#9128.00 Misc"/>
      <sheetName val="#9128.00 Genesis Design"/>
      <sheetName val="#9128.00 Phillips Floors"/>
      <sheetName val="#9128.00 Ryan Companies (2)"/>
      <sheetName val="RECAP #9129.00"/>
      <sheetName val="#9129.00 Funds Rec'd"/>
      <sheetName val="#9129.00 DCI Group"/>
      <sheetName val="#9129.00 PM TIME"/>
      <sheetName val="#9129.00 EADOCBR"/>
      <sheetName val="#9129.00 Misc"/>
      <sheetName val="#9129.00 Capital Painting"/>
      <sheetName val="#9129.00 Bergstrom"/>
      <sheetName val="#9129.00 Modern Electrical"/>
      <sheetName val="#9129.00 Johnson Controls"/>
      <sheetName val="#9129.00 Ralph N Smith"/>
      <sheetName val="RECAP #9131.00"/>
      <sheetName val="#9131.00 Funds Rec'd"/>
      <sheetName val="#9131.00 Story Construction"/>
      <sheetName val="#9131.00 PM TIME"/>
      <sheetName val="#9131.00 EADOCBR"/>
      <sheetName val="#9131.00 Misc"/>
      <sheetName val="#9131.00 Terracon"/>
      <sheetName val="#9131.00 Terracon (2)"/>
      <sheetName val="#9131.00 Story Construction (2)"/>
      <sheetName val="#9131.00 Black Hawk"/>
      <sheetName val="#9131.00 Controlled Asbestos"/>
      <sheetName val="RECAP #9132.00"/>
      <sheetName val="#9132.00 Funds Rec'd"/>
      <sheetName val="#9132.00 Vendor A"/>
      <sheetName val="#9132.00 PM TIME"/>
      <sheetName val="#9132.00 EADOCBR"/>
      <sheetName val="#9132.00 Misc"/>
      <sheetName val="RECAP #9133.00"/>
      <sheetName val="#9133.00 Funds Rec'd"/>
      <sheetName val="#9133.00 Samuels Group"/>
      <sheetName val="#9133.00 PM TIME"/>
      <sheetName val="#9133.00 EADOCBR"/>
      <sheetName val="#9133.00 Misc"/>
      <sheetName val="#9133.00 Farnsworth"/>
      <sheetName val="#9133.00 Ryan Companies"/>
      <sheetName val="#9133.00 Terracon"/>
      <sheetName val="RECAP #9134.00"/>
      <sheetName val="#9134.00 Funds Rec'd"/>
      <sheetName val="#9134.00 Story Construction"/>
      <sheetName val="#9134.00 PM TIME"/>
      <sheetName val="#9134.00 EADOCBR"/>
      <sheetName val="#9134.00 Misc"/>
      <sheetName val="#9134.00 Shive Hattery"/>
      <sheetName val="#9134.00 Young Plumbing"/>
      <sheetName val="#9134.00 Story Construction (2)"/>
      <sheetName val="#9134.00 Tri City (2)"/>
      <sheetName val="#9134.00 Hilsabeck"/>
      <sheetName val="RECAP #9136.00"/>
      <sheetName val="#9136.00 Funds Rec'd"/>
      <sheetName val="#9136.00 DCI Group"/>
      <sheetName val="#9136.00 PM TIME"/>
      <sheetName val="#9136.00 EADOCBR"/>
      <sheetName val="#9136.00 Misc"/>
      <sheetName val="#9136.00 Farnsworth Group"/>
      <sheetName val="#9136.00 DCI Group (2)"/>
      <sheetName val="#9136.00 All Star Concrete"/>
      <sheetName val="RECAP #9148.00"/>
      <sheetName val="#9148.00 Funds Rec'd"/>
      <sheetName val="#9148.00 Shive Hattery"/>
      <sheetName val="#9148.00 PM TIME"/>
      <sheetName val="#9148.00 EADOCBR"/>
      <sheetName val="#9148.00 Misc"/>
      <sheetName val="#9148.00 DCI Group"/>
      <sheetName val="#9148.00 Minturn"/>
      <sheetName val="RECAP #9149.00"/>
      <sheetName val="#9149.00 Funds Rec'd"/>
      <sheetName val="#9149.00 Ryan Companies"/>
      <sheetName val="#9149.00 PM TIME"/>
      <sheetName val="#9149.00 EADOCBR"/>
      <sheetName val="#9149.00 Misc"/>
      <sheetName val="#9149.00 Confluence"/>
      <sheetName val="#9149.00 Ryan Companies (2)"/>
      <sheetName val="#9149.00 Confluence (2)"/>
      <sheetName val="#9149.00 Ryan Companies (3)"/>
      <sheetName val="#9149.00 Elder Corp"/>
      <sheetName val="#9149.00 Jordison"/>
      <sheetName val="#9149.00 Steel Erector"/>
      <sheetName val="#9149.00 Miller Landscape"/>
      <sheetName val="RECAP #9151.00"/>
      <sheetName val="#9151.00 Funds Rec'd"/>
      <sheetName val="#9151.00 Shive Hattery"/>
      <sheetName val="#9151.00 PM TIME"/>
      <sheetName val="#9151.00 EADOCBR"/>
      <sheetName val="#9151.00 Misc"/>
      <sheetName val="#9151.00 DCI Group"/>
      <sheetName val="#9151.00 DCI Group (2)"/>
      <sheetName val="#9151.00 Koester"/>
      <sheetName val="RECAP #9158.00"/>
      <sheetName val="#9158.00 Funds Rec'd"/>
      <sheetName val="#9158.00 DCI Group"/>
      <sheetName val="#9158.00 PM TIME"/>
      <sheetName val="#9158.00 EADOCBR"/>
      <sheetName val="#9158.00 Misc"/>
      <sheetName val="#9158.00 KCL Engineering"/>
      <sheetName val="#9158.00 DCI Group (2)"/>
      <sheetName val="#9158.00 Commonwealth"/>
      <sheetName val="#9158.00 Walsh Door"/>
      <sheetName val="#9158.00 Walsh Door &amp; Security"/>
      <sheetName val="RECAP #9159.00"/>
      <sheetName val="#9159.00 Funds Rec'd"/>
      <sheetName val="#9159.00 DCI Group"/>
      <sheetName val="#9159.00 PM TIME"/>
      <sheetName val="#9159.00 EADOCBR"/>
      <sheetName val="#9159.00 Misc"/>
      <sheetName val="#9159.00 KCL Engineering"/>
      <sheetName val="#9159.00 DCI Group (2)"/>
      <sheetName val="#9159.00 Baker"/>
      <sheetName val="RECAP #9160.00"/>
      <sheetName val="#9160.00 Funds Rec'd"/>
      <sheetName val="#9160.00 IMEG"/>
      <sheetName val="#9160.00 PM TIME"/>
      <sheetName val="#9160.00 EADOCBR"/>
      <sheetName val="#9160.00 Misc"/>
      <sheetName val="RECAP #9161.00"/>
      <sheetName val="#9161.00 Funds Rec'd"/>
      <sheetName val="#9161.00 Horizon"/>
      <sheetName val="#9161.00 PM TIME"/>
      <sheetName val="#9161.00 EADOCBR"/>
      <sheetName val="#9161.00 Misc"/>
      <sheetName val="#9161.00 DCI Group"/>
      <sheetName val="RECAP #9162.00"/>
      <sheetName val="#9162.00 Funds Rec'd"/>
      <sheetName val="#9162.00 DCI Group"/>
      <sheetName val="#9162.00 PM TIME"/>
      <sheetName val="#9162.00 EADOCBR"/>
      <sheetName val="#9162.00 Misc"/>
      <sheetName val="#9162.00 Shive Hattery"/>
      <sheetName val="#9162.00 DCI Group (2)"/>
      <sheetName val="#9162.00 Air-Con Mechanical"/>
      <sheetName val="#9162.00 Koester"/>
      <sheetName val="#9162.00 Air-Con Electric"/>
      <sheetName val="RECAP #9166.00"/>
      <sheetName val="#9166.00 Funds Rec'd"/>
      <sheetName val="#9166.00 Shive Hattery"/>
      <sheetName val="#9166.00 PM TIME"/>
      <sheetName val="#9166.00 EADOCBR"/>
      <sheetName val="#9166.00 Misc"/>
      <sheetName val="#9166.00 Story Construction"/>
      <sheetName val="#9166.00 Story Construction (2)"/>
      <sheetName val="#9166.00 Tri-City"/>
      <sheetName val="#9166.00 Heartland"/>
      <sheetName val="#9166.00 Young Plumbing"/>
      <sheetName val="RECAP #9167.00"/>
      <sheetName val="#9167.00 Funds Rec'd"/>
      <sheetName val="#9167.00 Shive Hattery"/>
      <sheetName val="#9167.00 PM TIME"/>
      <sheetName val="#9167.00 EADOCBR"/>
      <sheetName val="#9167.00 Misc"/>
      <sheetName val="#9167.00 Genesis"/>
      <sheetName val="RECAP #9170.00"/>
      <sheetName val="#9170.00 Funds Rec'd"/>
      <sheetName val="#9170.00 DCI Group"/>
      <sheetName val="#9170.00 PM TIME"/>
      <sheetName val="#9170.00 EADOCBR"/>
      <sheetName val="#9170.00 Misc"/>
      <sheetName val="#9170.00 Jeffrey L Bruce"/>
      <sheetName val="#9170.00 DCI Group (2)"/>
      <sheetName val="#9170.00 Alpha Landscapes"/>
      <sheetName val="#9170.00 Waldinger Corporation"/>
      <sheetName val="RECAP #XXXX.XX"/>
      <sheetName val="#xxxx.xx Funds Rec'd"/>
      <sheetName val="#xxxx.xx Vendor A"/>
      <sheetName val="#xxxx.xx PM TIME"/>
      <sheetName val="#xxxx.xx M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>
        <row r="3">
          <cell r="E3" t="str">
            <v>Major Program xxxx</v>
          </cell>
        </row>
      </sheetData>
      <sheetData sheetId="282"/>
      <sheetData sheetId="283"/>
      <sheetData sheetId="284"/>
      <sheetData sheetId="2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"/>
  <sheetViews>
    <sheetView topLeftCell="A28" zoomScaleNormal="100" workbookViewId="0">
      <selection activeCell="A25" sqref="A25"/>
    </sheetView>
  </sheetViews>
  <sheetFormatPr defaultRowHeight="15" x14ac:dyDescent="0.25"/>
  <sheetData/>
  <pageMargins left="0.7" right="0.7" top="0.75" bottom="0.75" header="0.3" footer="0.3"/>
  <pageSetup scale="2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Y69"/>
  <sheetViews>
    <sheetView tabSelected="1" topLeftCell="A19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3" width="11.42578125" style="105" customWidth="1"/>
    <col min="14" max="14" width="10.5703125" style="105" customWidth="1"/>
    <col min="15" max="15" width="1" style="242" customWidth="1"/>
    <col min="16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24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259" t="s">
        <v>43</v>
      </c>
      <c r="D3" s="188">
        <v>22000000</v>
      </c>
      <c r="E3" s="189"/>
      <c r="F3" s="117"/>
      <c r="G3" s="117"/>
      <c r="H3" s="117"/>
    </row>
    <row r="4" spans="1:23" x14ac:dyDescent="0.2">
      <c r="A4" s="115"/>
      <c r="B4" s="116"/>
      <c r="C4" s="259" t="s">
        <v>43</v>
      </c>
      <c r="D4" s="118">
        <f>F48</f>
        <v>0</v>
      </c>
      <c r="E4" s="117"/>
      <c r="F4" s="117"/>
      <c r="G4" s="117"/>
      <c r="H4" s="117"/>
    </row>
    <row r="5" spans="1:23" x14ac:dyDescent="0.2">
      <c r="A5" s="115"/>
      <c r="B5" s="116"/>
      <c r="C5" s="259" t="s">
        <v>49</v>
      </c>
      <c r="D5" s="118"/>
      <c r="E5" s="260">
        <v>0</v>
      </c>
      <c r="F5" s="117"/>
      <c r="G5" s="117"/>
      <c r="H5" s="117"/>
    </row>
    <row r="6" spans="1:23" ht="13.5" thickBot="1" x14ac:dyDescent="0.25">
      <c r="A6" s="115"/>
      <c r="B6" s="116"/>
      <c r="C6" s="259" t="s">
        <v>50</v>
      </c>
      <c r="D6" s="118"/>
      <c r="E6" s="261">
        <f>D3+D4-E5</f>
        <v>22000000</v>
      </c>
      <c r="F6" s="117"/>
      <c r="G6" s="117"/>
      <c r="H6" s="117"/>
    </row>
    <row r="7" spans="1:23" ht="14.25" thickTop="1" thickBot="1" x14ac:dyDescent="0.25">
      <c r="A7" s="115"/>
      <c r="B7" s="116" t="s">
        <v>51</v>
      </c>
      <c r="C7" s="259" t="s">
        <v>52</v>
      </c>
      <c r="D7" s="118"/>
      <c r="E7" s="262">
        <f>G48</f>
        <v>20668000</v>
      </c>
      <c r="F7" s="117"/>
      <c r="G7" s="117"/>
      <c r="H7" s="117"/>
    </row>
    <row r="8" spans="1:23" ht="13.5" thickBot="1" x14ac:dyDescent="0.25">
      <c r="A8" s="115"/>
      <c r="B8" s="116"/>
      <c r="C8" s="259" t="s">
        <v>53</v>
      </c>
      <c r="D8" s="118"/>
      <c r="E8" s="263">
        <f>E6-E7</f>
        <v>1332000</v>
      </c>
      <c r="F8" s="117"/>
      <c r="G8" s="117"/>
      <c r="H8" s="117"/>
    </row>
    <row r="9" spans="1:23" x14ac:dyDescent="0.2">
      <c r="A9" s="115"/>
      <c r="B9" s="116"/>
      <c r="C9" s="119"/>
      <c r="D9" s="118"/>
      <c r="E9" s="117"/>
      <c r="F9" s="117"/>
      <c r="G9" s="117"/>
      <c r="H9" s="117"/>
    </row>
    <row r="10" spans="1:23" x14ac:dyDescent="0.2">
      <c r="A10" s="115"/>
      <c r="B10" s="116"/>
      <c r="C10" s="119"/>
      <c r="D10" s="118"/>
      <c r="E10" s="117"/>
      <c r="F10" s="117"/>
      <c r="G10" s="117"/>
      <c r="H10" s="117"/>
    </row>
    <row r="11" spans="1:23" x14ac:dyDescent="0.2">
      <c r="A11" s="115"/>
      <c r="B11" s="116"/>
      <c r="C11" s="119"/>
      <c r="D11" s="118"/>
      <c r="E11" s="117"/>
      <c r="F11" s="117"/>
      <c r="G11" s="117"/>
      <c r="H11" s="117"/>
    </row>
    <row r="12" spans="1:23" ht="15.75" x14ac:dyDescent="0.25">
      <c r="A12" s="120"/>
      <c r="B12" s="121"/>
      <c r="C12" s="122" t="s">
        <v>54</v>
      </c>
      <c r="D12" s="123"/>
      <c r="E12" s="124"/>
      <c r="F12" s="124"/>
      <c r="G12" s="124"/>
      <c r="H12" s="124"/>
      <c r="I12" s="124"/>
      <c r="J12" s="125"/>
      <c r="K12" s="125"/>
    </row>
    <row r="13" spans="1:23" s="133" customFormat="1" ht="22.5" x14ac:dyDescent="0.2">
      <c r="A13" s="126"/>
      <c r="B13" s="127"/>
      <c r="C13" s="128"/>
      <c r="D13" s="129"/>
      <c r="E13" s="130" t="s">
        <v>55</v>
      </c>
      <c r="F13" s="131" t="s">
        <v>56</v>
      </c>
      <c r="G13" s="131" t="s">
        <v>57</v>
      </c>
      <c r="H13" s="131" t="s">
        <v>56</v>
      </c>
      <c r="I13" s="131" t="s">
        <v>56</v>
      </c>
      <c r="J13" s="131" t="s">
        <v>56</v>
      </c>
      <c r="K13" s="131" t="s">
        <v>56</v>
      </c>
      <c r="L13" s="132"/>
      <c r="M13" s="132"/>
      <c r="N13" s="132"/>
      <c r="O13" s="244"/>
      <c r="P13" s="132"/>
      <c r="Q13" s="132"/>
      <c r="R13" s="132"/>
      <c r="S13" s="132"/>
      <c r="T13" s="132"/>
      <c r="U13" s="132"/>
      <c r="V13" s="132"/>
      <c r="W13" s="132"/>
    </row>
    <row r="14" spans="1:23" s="133" customFormat="1" x14ac:dyDescent="0.2">
      <c r="A14" s="126"/>
      <c r="B14" s="127"/>
      <c r="C14" s="134" t="s">
        <v>58</v>
      </c>
      <c r="D14" s="129"/>
      <c r="E14" s="130"/>
      <c r="F14" s="135"/>
      <c r="G14" s="131"/>
      <c r="H14" s="131"/>
      <c r="I14" s="131"/>
      <c r="J14" s="131"/>
      <c r="K14" s="131"/>
      <c r="L14" s="132"/>
      <c r="M14" s="132"/>
      <c r="N14" s="132"/>
      <c r="O14" s="244"/>
      <c r="P14" s="132"/>
      <c r="Q14" s="132"/>
      <c r="R14" s="132"/>
      <c r="S14" s="132"/>
      <c r="T14" s="132"/>
      <c r="U14" s="132"/>
      <c r="V14" s="132"/>
      <c r="W14" s="132"/>
    </row>
    <row r="15" spans="1:23" s="133" customFormat="1" x14ac:dyDescent="0.2">
      <c r="A15" s="126"/>
      <c r="B15" s="127" t="s">
        <v>68</v>
      </c>
      <c r="C15" s="136" t="s">
        <v>59</v>
      </c>
      <c r="D15" s="129" t="s">
        <v>60</v>
      </c>
      <c r="E15" s="137">
        <v>75000</v>
      </c>
      <c r="F15" s="129">
        <f>'RECAP #9997.25'!C9</f>
        <v>0</v>
      </c>
      <c r="G15" s="137">
        <f t="shared" ref="G15:G45" si="0">E15+F15</f>
        <v>75000</v>
      </c>
      <c r="H15" s="129">
        <f>'RECAP #9997.25'!D12</f>
        <v>75000</v>
      </c>
      <c r="I15" s="129">
        <f>'RECAP #9997.25'!E12</f>
        <v>22736.370000000003</v>
      </c>
      <c r="J15" s="129">
        <f>'RECAP #9997.25'!F12</f>
        <v>52263.63</v>
      </c>
      <c r="K15" s="129">
        <f>'RECAP #9997.25'!G12</f>
        <v>0</v>
      </c>
      <c r="L15" s="132"/>
      <c r="M15" s="132"/>
      <c r="N15" s="132"/>
      <c r="O15" s="244"/>
      <c r="P15" s="132"/>
      <c r="Q15" s="132"/>
      <c r="R15" s="132"/>
      <c r="S15" s="132"/>
      <c r="T15" s="132"/>
      <c r="U15" s="132"/>
      <c r="V15" s="132"/>
      <c r="W15" s="132"/>
    </row>
    <row r="16" spans="1:23" s="133" customFormat="1" x14ac:dyDescent="0.2">
      <c r="A16" s="126"/>
      <c r="B16" s="127" t="s">
        <v>100</v>
      </c>
      <c r="C16" s="138" t="s">
        <v>101</v>
      </c>
      <c r="D16" s="129" t="s">
        <v>102</v>
      </c>
      <c r="E16" s="137">
        <v>3000000</v>
      </c>
      <c r="F16" s="129"/>
      <c r="G16" s="137">
        <f t="shared" si="0"/>
        <v>3000000</v>
      </c>
      <c r="H16" s="129">
        <f>'RECAP #9354.00'!D14</f>
        <v>0</v>
      </c>
      <c r="I16" s="129">
        <f>'RECAP #9354.00'!E14</f>
        <v>0</v>
      </c>
      <c r="J16" s="129">
        <f>'RECAP #9354.00'!F14</f>
        <v>0</v>
      </c>
      <c r="K16" s="129">
        <f>'RECAP #9354.00'!G14</f>
        <v>3000000</v>
      </c>
      <c r="L16" s="132"/>
      <c r="M16" s="132"/>
      <c r="N16" s="132"/>
      <c r="O16" s="244">
        <f>'#9354.00 PM TIME'!I23</f>
        <v>0</v>
      </c>
      <c r="P16" s="132"/>
      <c r="Q16" s="132"/>
      <c r="R16" s="132"/>
      <c r="S16" s="132"/>
      <c r="T16" s="132"/>
      <c r="U16" s="132"/>
      <c r="V16" s="132"/>
      <c r="W16" s="132"/>
    </row>
    <row r="17" spans="1:23" s="133" customFormat="1" x14ac:dyDescent="0.2">
      <c r="A17" s="126"/>
      <c r="B17" s="127" t="s">
        <v>187</v>
      </c>
      <c r="C17" s="138" t="s">
        <v>188</v>
      </c>
      <c r="D17" s="129" t="s">
        <v>102</v>
      </c>
      <c r="E17" s="137">
        <f>520000-142000</f>
        <v>378000</v>
      </c>
      <c r="F17" s="129"/>
      <c r="G17" s="137">
        <f t="shared" si="0"/>
        <v>378000</v>
      </c>
      <c r="H17" s="129">
        <f>'RECAP #9371.00'!D15</f>
        <v>366605.08</v>
      </c>
      <c r="I17" s="129">
        <f>'RECAP #9371.00'!E15</f>
        <v>973.74</v>
      </c>
      <c r="J17" s="129">
        <f>'RECAP #9371.00'!F15</f>
        <v>365631.34</v>
      </c>
      <c r="K17" s="129">
        <f>'RECAP #9371.00'!G15</f>
        <v>11394.919999999984</v>
      </c>
      <c r="L17" s="168"/>
      <c r="M17" s="132"/>
      <c r="N17" s="132"/>
      <c r="O17" s="244">
        <f>'#9371.00 PM TIME'!I23</f>
        <v>0</v>
      </c>
      <c r="P17" s="132"/>
      <c r="Q17" s="132"/>
      <c r="R17" s="132"/>
      <c r="S17" s="132"/>
      <c r="T17" s="132"/>
      <c r="U17" s="132"/>
      <c r="V17" s="132"/>
      <c r="W17" s="132"/>
    </row>
    <row r="18" spans="1:23" s="133" customFormat="1" x14ac:dyDescent="0.2">
      <c r="A18" s="126"/>
      <c r="B18" s="127" t="s">
        <v>89</v>
      </c>
      <c r="C18" s="138" t="s">
        <v>90</v>
      </c>
      <c r="D18" s="126" t="s">
        <v>91</v>
      </c>
      <c r="E18" s="137">
        <f>100000+2900000</f>
        <v>3000000</v>
      </c>
      <c r="F18" s="129"/>
      <c r="G18" s="137">
        <f t="shared" si="0"/>
        <v>3000000</v>
      </c>
      <c r="H18" s="129">
        <f>'RECAP #9422.00'!D14</f>
        <v>22289.86</v>
      </c>
      <c r="I18" s="129">
        <f>'RECAP #9422.00'!E14</f>
        <v>1740.7600000000002</v>
      </c>
      <c r="J18" s="129">
        <f>'RECAP #9422.00'!F14</f>
        <v>20549.099999999999</v>
      </c>
      <c r="K18" s="129">
        <f>'RECAP #9422.00'!G14</f>
        <v>2977710.14</v>
      </c>
      <c r="L18" s="132"/>
      <c r="M18" s="132"/>
      <c r="N18" s="132"/>
      <c r="O18" s="244">
        <f>'#9422.00 PM TIME '!I23</f>
        <v>3259.24</v>
      </c>
      <c r="P18" s="132"/>
      <c r="Q18" s="132"/>
      <c r="R18" s="132"/>
      <c r="S18" s="132"/>
      <c r="T18" s="132"/>
      <c r="U18" s="132"/>
      <c r="V18" s="132"/>
      <c r="W18" s="132"/>
    </row>
    <row r="19" spans="1:23" s="133" customFormat="1" x14ac:dyDescent="0.2">
      <c r="A19" s="126"/>
      <c r="B19" s="127" t="s">
        <v>237</v>
      </c>
      <c r="C19" s="138" t="s">
        <v>233</v>
      </c>
      <c r="D19" s="126" t="s">
        <v>91</v>
      </c>
      <c r="E19" s="137">
        <f>800000</f>
        <v>800000</v>
      </c>
      <c r="F19" s="129"/>
      <c r="G19" s="137">
        <f t="shared" si="0"/>
        <v>800000</v>
      </c>
      <c r="H19" s="129">
        <f>'RECAP #9442.00'!D14</f>
        <v>27451.65</v>
      </c>
      <c r="I19" s="129">
        <f>'RECAP #9442.00'!E14</f>
        <v>787.44</v>
      </c>
      <c r="J19" s="129">
        <f>'RECAP #9442.00'!F14</f>
        <v>26664.210000000003</v>
      </c>
      <c r="K19" s="129">
        <f>'RECAP #9442.00'!G14</f>
        <v>772548.35</v>
      </c>
      <c r="L19" s="132"/>
      <c r="M19" s="132"/>
      <c r="N19" s="132"/>
      <c r="O19" s="244">
        <f>'#9442.00 PM TIME'!I23</f>
        <v>9212.56</v>
      </c>
      <c r="P19" s="132"/>
      <c r="Q19" s="132"/>
      <c r="R19" s="132"/>
      <c r="S19" s="132"/>
      <c r="T19" s="132"/>
      <c r="U19" s="132"/>
      <c r="V19" s="132"/>
      <c r="W19" s="132"/>
    </row>
    <row r="20" spans="1:23" s="133" customFormat="1" ht="12.75" customHeight="1" x14ac:dyDescent="0.2">
      <c r="A20" s="126"/>
      <c r="B20" s="127" t="s">
        <v>238</v>
      </c>
      <c r="C20" s="138" t="s">
        <v>369</v>
      </c>
      <c r="D20" s="126" t="s">
        <v>91</v>
      </c>
      <c r="E20" s="137">
        <f>2000000</f>
        <v>2000000</v>
      </c>
      <c r="F20" s="129"/>
      <c r="G20" s="137">
        <f t="shared" si="0"/>
        <v>2000000</v>
      </c>
      <c r="H20" s="129">
        <f>'RECAP #9443.00'!D14</f>
        <v>41341.199999999997</v>
      </c>
      <c r="I20" s="129">
        <f>'RECAP #9443.00'!E14</f>
        <v>501.35</v>
      </c>
      <c r="J20" s="129">
        <f>'RECAP #9443.00'!F14</f>
        <v>40839.85</v>
      </c>
      <c r="K20" s="129">
        <f>'RECAP #9443.00'!G14</f>
        <v>1958658.8</v>
      </c>
      <c r="L20" s="132"/>
      <c r="M20" s="132"/>
      <c r="N20" s="132"/>
      <c r="O20" s="244">
        <f>'#9443.00 PM TIME'!I23</f>
        <v>24498.65</v>
      </c>
      <c r="P20" s="132"/>
      <c r="Q20" s="132"/>
      <c r="R20" s="132"/>
      <c r="S20" s="132"/>
      <c r="T20" s="132"/>
      <c r="U20" s="132"/>
      <c r="V20" s="132"/>
      <c r="W20" s="132"/>
    </row>
    <row r="21" spans="1:23" s="133" customFormat="1" x14ac:dyDescent="0.2">
      <c r="A21" s="126"/>
      <c r="B21" s="127" t="s">
        <v>239</v>
      </c>
      <c r="C21" s="138" t="s">
        <v>234</v>
      </c>
      <c r="D21" s="126" t="s">
        <v>236</v>
      </c>
      <c r="E21" s="137">
        <f>250000</f>
        <v>250000</v>
      </c>
      <c r="F21" s="129"/>
      <c r="G21" s="137">
        <f t="shared" si="0"/>
        <v>250000</v>
      </c>
      <c r="H21" s="129">
        <f>'RECAP #9444.00'!D14</f>
        <v>47642.58</v>
      </c>
      <c r="I21" s="129">
        <f>'RECAP #9444.00'!E14</f>
        <v>829.84</v>
      </c>
      <c r="J21" s="129">
        <f>'RECAP #9444.00'!F14</f>
        <v>46812.740000000005</v>
      </c>
      <c r="K21" s="129">
        <f>'RECAP #9444.00'!G14</f>
        <v>202357.41999999998</v>
      </c>
      <c r="L21" s="132"/>
      <c r="M21" s="132"/>
      <c r="N21" s="132"/>
      <c r="O21" s="244">
        <f>'#9444.00 PM TIME'!I23</f>
        <v>14170.16</v>
      </c>
      <c r="P21" s="132"/>
      <c r="Q21" s="132"/>
      <c r="R21" s="132"/>
      <c r="S21" s="132"/>
      <c r="T21" s="132"/>
      <c r="U21" s="132"/>
      <c r="V21" s="132"/>
      <c r="W21" s="132"/>
    </row>
    <row r="22" spans="1:23" s="133" customFormat="1" x14ac:dyDescent="0.2">
      <c r="A22" s="126"/>
      <c r="B22" s="127" t="s">
        <v>240</v>
      </c>
      <c r="C22" s="138" t="s">
        <v>235</v>
      </c>
      <c r="D22" s="126" t="s">
        <v>122</v>
      </c>
      <c r="E22" s="137">
        <f>1800000</f>
        <v>1800000</v>
      </c>
      <c r="F22" s="129"/>
      <c r="G22" s="137">
        <f t="shared" si="0"/>
        <v>1800000</v>
      </c>
      <c r="H22" s="129">
        <f>'RECAP #9445.00'!D14</f>
        <v>51128.020000000004</v>
      </c>
      <c r="I22" s="129">
        <f>'RECAP #9445.00'!E14</f>
        <v>1637.27</v>
      </c>
      <c r="J22" s="129">
        <f>'RECAP #9445.00'!F14</f>
        <v>49490.750000000007</v>
      </c>
      <c r="K22" s="129">
        <f>'RECAP #9445.00'!G14</f>
        <v>1748871.98</v>
      </c>
      <c r="L22" s="132"/>
      <c r="M22" s="132"/>
      <c r="N22" s="132"/>
      <c r="O22" s="244">
        <f>'#9445.00 PM TIME'!I23</f>
        <v>21464.26</v>
      </c>
      <c r="P22" s="132"/>
      <c r="Q22" s="132"/>
      <c r="R22" s="132"/>
      <c r="S22" s="132"/>
      <c r="T22" s="132"/>
      <c r="U22" s="132"/>
      <c r="V22" s="132"/>
      <c r="W22" s="132"/>
    </row>
    <row r="23" spans="1:23" s="133" customFormat="1" x14ac:dyDescent="0.2">
      <c r="A23" s="126"/>
      <c r="B23" s="127" t="s">
        <v>289</v>
      </c>
      <c r="C23" s="138" t="s">
        <v>277</v>
      </c>
      <c r="D23" s="126" t="s">
        <v>292</v>
      </c>
      <c r="E23" s="137">
        <v>720000</v>
      </c>
      <c r="F23" s="129"/>
      <c r="G23" s="137">
        <f t="shared" si="0"/>
        <v>720000</v>
      </c>
      <c r="H23" s="129">
        <f>'RECAP #9447.00'!D15</f>
        <v>34769.119999999995</v>
      </c>
      <c r="I23" s="129">
        <f>'RECAP #9447.00'!E15</f>
        <v>688.07</v>
      </c>
      <c r="J23" s="129">
        <f>'RECAP #9447.00'!F15</f>
        <v>34081.049999999996</v>
      </c>
      <c r="K23" s="129">
        <f>'RECAP #9447.00'!G15</f>
        <v>685230.88</v>
      </c>
      <c r="L23" s="132"/>
      <c r="M23" s="132"/>
      <c r="N23" s="132"/>
      <c r="O23" s="244">
        <f>'#9447.00 PM TIME'!I23</f>
        <v>14311.93</v>
      </c>
      <c r="P23" s="132"/>
      <c r="Q23" s="132"/>
      <c r="R23" s="132"/>
      <c r="S23" s="132"/>
      <c r="T23" s="132"/>
      <c r="U23" s="132"/>
      <c r="V23" s="132"/>
      <c r="W23" s="132"/>
    </row>
    <row r="24" spans="1:23" s="133" customFormat="1" x14ac:dyDescent="0.2">
      <c r="A24" s="126"/>
      <c r="B24" s="127" t="s">
        <v>290</v>
      </c>
      <c r="C24" s="138" t="s">
        <v>282</v>
      </c>
      <c r="D24" s="126" t="s">
        <v>292</v>
      </c>
      <c r="E24" s="137">
        <v>970000</v>
      </c>
      <c r="F24" s="129"/>
      <c r="G24" s="137">
        <f t="shared" si="0"/>
        <v>970000</v>
      </c>
      <c r="H24" s="129">
        <f>'RECAP #9448.00'!D15</f>
        <v>63920.479999999996</v>
      </c>
      <c r="I24" s="129">
        <f>'RECAP #9448.00'!E15</f>
        <v>688.07</v>
      </c>
      <c r="J24" s="129">
        <f>'RECAP #9448.00'!F15</f>
        <v>63232.409999999996</v>
      </c>
      <c r="K24" s="129">
        <f>'RECAP #9448.00'!G15</f>
        <v>906079.52</v>
      </c>
      <c r="L24" s="132"/>
      <c r="M24" s="132"/>
      <c r="N24" s="132"/>
      <c r="O24" s="244">
        <f>'#9448.00 PM TIME'!I23</f>
        <v>29311.93</v>
      </c>
      <c r="P24" s="132"/>
      <c r="Q24" s="132"/>
      <c r="R24" s="132"/>
      <c r="S24" s="132"/>
      <c r="T24" s="132"/>
      <c r="U24" s="132"/>
      <c r="V24" s="132"/>
      <c r="W24" s="132"/>
    </row>
    <row r="25" spans="1:23" s="133" customFormat="1" x14ac:dyDescent="0.2">
      <c r="A25" s="126"/>
      <c r="B25" s="127" t="s">
        <v>291</v>
      </c>
      <c r="C25" s="138" t="s">
        <v>286</v>
      </c>
      <c r="D25" s="126" t="s">
        <v>292</v>
      </c>
      <c r="E25" s="137">
        <v>200000</v>
      </c>
      <c r="F25" s="129"/>
      <c r="G25" s="137">
        <f t="shared" si="0"/>
        <v>200000</v>
      </c>
      <c r="H25" s="129">
        <f>'RECAP #9449.00'!D15</f>
        <v>91920.45</v>
      </c>
      <c r="I25" s="129">
        <f>'RECAP #9449.00'!E15</f>
        <v>732.5</v>
      </c>
      <c r="J25" s="129">
        <f>'RECAP #9449.00'!F15</f>
        <v>91187.95</v>
      </c>
      <c r="K25" s="129">
        <f>'RECAP #9449.00'!G15</f>
        <v>108079.55</v>
      </c>
      <c r="L25" s="132"/>
      <c r="M25" s="132"/>
      <c r="N25" s="132"/>
      <c r="O25" s="244">
        <f>'#9449.00 PM TIME'!I23</f>
        <v>14267.5</v>
      </c>
      <c r="P25" s="132"/>
      <c r="Q25" s="132"/>
      <c r="R25" s="132"/>
      <c r="S25" s="132"/>
      <c r="T25" s="132"/>
      <c r="U25" s="132"/>
      <c r="V25" s="132"/>
      <c r="W25" s="132"/>
    </row>
    <row r="26" spans="1:23" s="133" customFormat="1" x14ac:dyDescent="0.2">
      <c r="A26" s="126"/>
      <c r="B26" s="127" t="s">
        <v>103</v>
      </c>
      <c r="C26" s="138" t="s">
        <v>113</v>
      </c>
      <c r="D26" s="126" t="s">
        <v>91</v>
      </c>
      <c r="E26" s="137">
        <v>600000</v>
      </c>
      <c r="F26" s="129"/>
      <c r="G26" s="137">
        <f t="shared" si="0"/>
        <v>600000</v>
      </c>
      <c r="H26" s="129">
        <f>'RECAP #9451.00'!D15</f>
        <v>61147.75</v>
      </c>
      <c r="I26" s="129">
        <f>'RECAP #9451.00'!E15</f>
        <v>22533.360000000001</v>
      </c>
      <c r="J26" s="129">
        <f>'RECAP #9451.00'!F15</f>
        <v>38614.39</v>
      </c>
      <c r="K26" s="129">
        <f>'RECAP #9451.00'!G15</f>
        <v>538852.25</v>
      </c>
      <c r="L26" s="132"/>
      <c r="M26" s="132"/>
      <c r="N26" s="132"/>
      <c r="O26" s="244">
        <f>'#9451.00 PM Time'!I23</f>
        <v>2974.2799999999997</v>
      </c>
      <c r="P26" s="132"/>
      <c r="Q26" s="132"/>
      <c r="R26" s="132"/>
      <c r="S26" s="132"/>
      <c r="T26" s="132"/>
      <c r="U26" s="132"/>
      <c r="V26" s="132"/>
      <c r="W26" s="132"/>
    </row>
    <row r="27" spans="1:23" s="133" customFormat="1" x14ac:dyDescent="0.2">
      <c r="A27" s="126"/>
      <c r="B27" s="127" t="s">
        <v>104</v>
      </c>
      <c r="C27" s="138" t="s">
        <v>114</v>
      </c>
      <c r="D27" s="126" t="s">
        <v>102</v>
      </c>
      <c r="E27" s="137">
        <v>300000</v>
      </c>
      <c r="F27" s="129"/>
      <c r="G27" s="137">
        <f t="shared" si="0"/>
        <v>300000</v>
      </c>
      <c r="H27" s="129">
        <f>'RECAP #9452.00'!D14</f>
        <v>36875</v>
      </c>
      <c r="I27" s="129">
        <f>'RECAP #9452.00'!E14</f>
        <v>1521.79</v>
      </c>
      <c r="J27" s="129">
        <f>'RECAP #9452.00'!F14</f>
        <v>35353.21</v>
      </c>
      <c r="K27" s="129">
        <f>'RECAP #9452.00'!G14</f>
        <v>263125</v>
      </c>
      <c r="L27" s="132"/>
      <c r="M27" s="132"/>
      <c r="N27" s="132"/>
      <c r="O27" s="244">
        <f>'#9452.00 PM TIME '!I23</f>
        <v>10478.209999999999</v>
      </c>
      <c r="P27" s="132"/>
      <c r="Q27" s="132"/>
      <c r="R27" s="132"/>
      <c r="S27" s="132"/>
      <c r="T27" s="132"/>
      <c r="U27" s="132"/>
      <c r="V27" s="132"/>
      <c r="W27" s="132"/>
    </row>
    <row r="28" spans="1:23" s="133" customFormat="1" x14ac:dyDescent="0.2">
      <c r="A28" s="126"/>
      <c r="B28" s="127" t="s">
        <v>105</v>
      </c>
      <c r="C28" s="138" t="s">
        <v>115</v>
      </c>
      <c r="D28" s="126" t="s">
        <v>122</v>
      </c>
      <c r="E28" s="137">
        <v>310000</v>
      </c>
      <c r="F28" s="129"/>
      <c r="G28" s="137">
        <f t="shared" si="0"/>
        <v>310000</v>
      </c>
      <c r="H28" s="129">
        <f>'RECAP #9453.00'!D15</f>
        <v>36511.74</v>
      </c>
      <c r="I28" s="129">
        <f>'RECAP #9453.00'!E15</f>
        <v>5355.97</v>
      </c>
      <c r="J28" s="129">
        <f>'RECAP #9453.00'!F15</f>
        <v>31155.769999999997</v>
      </c>
      <c r="K28" s="129">
        <f>'RECAP #9453.00'!G15</f>
        <v>273488.26</v>
      </c>
      <c r="L28" s="132"/>
      <c r="M28" s="132"/>
      <c r="N28" s="132"/>
      <c r="O28" s="244">
        <f>'#9453.00 PM TIME'!I23</f>
        <v>3700.72</v>
      </c>
      <c r="P28" s="132"/>
      <c r="Q28" s="132"/>
      <c r="R28" s="132"/>
      <c r="S28" s="132"/>
      <c r="T28" s="132"/>
      <c r="U28" s="132"/>
      <c r="V28" s="132"/>
      <c r="W28" s="132"/>
    </row>
    <row r="29" spans="1:23" s="133" customFormat="1" x14ac:dyDescent="0.2">
      <c r="A29" s="126"/>
      <c r="B29" s="127" t="s">
        <v>106</v>
      </c>
      <c r="C29" s="138" t="s">
        <v>116</v>
      </c>
      <c r="D29" s="126" t="s">
        <v>91</v>
      </c>
      <c r="E29" s="137">
        <v>600000</v>
      </c>
      <c r="F29" s="129"/>
      <c r="G29" s="137">
        <f t="shared" si="0"/>
        <v>600000</v>
      </c>
      <c r="H29" s="129">
        <f>'RECAP #9454.00'!D15</f>
        <v>55313.32</v>
      </c>
      <c r="I29" s="129">
        <f>'RECAP #9454.00'!E15</f>
        <v>22693.74</v>
      </c>
      <c r="J29" s="129">
        <f>'RECAP #9454.00'!F15</f>
        <v>32619.579999999998</v>
      </c>
      <c r="K29" s="129">
        <f>'RECAP #9454.00'!G15</f>
        <v>544686.68000000005</v>
      </c>
      <c r="L29" s="132"/>
      <c r="M29" s="132"/>
      <c r="N29" s="132"/>
      <c r="O29" s="244">
        <f>'#9454.00 PM TIME'!I23</f>
        <v>12012.66</v>
      </c>
      <c r="P29" s="132"/>
      <c r="Q29" s="132"/>
      <c r="R29" s="132"/>
      <c r="S29" s="132"/>
      <c r="T29" s="132"/>
      <c r="U29" s="132"/>
      <c r="V29" s="132"/>
      <c r="W29" s="132"/>
    </row>
    <row r="30" spans="1:23" s="133" customFormat="1" x14ac:dyDescent="0.2">
      <c r="A30" s="126"/>
      <c r="B30" s="127" t="s">
        <v>107</v>
      </c>
      <c r="C30" s="138" t="s">
        <v>117</v>
      </c>
      <c r="D30" s="126" t="s">
        <v>102</v>
      </c>
      <c r="E30" s="137">
        <v>1000000</v>
      </c>
      <c r="F30" s="129"/>
      <c r="G30" s="137">
        <f t="shared" si="0"/>
        <v>1000000</v>
      </c>
      <c r="H30" s="129">
        <f>'RECAP #9455.00'!D15</f>
        <v>140109.22</v>
      </c>
      <c r="I30" s="129">
        <f>'RECAP #9455.00'!E15</f>
        <v>12711.57</v>
      </c>
      <c r="J30" s="129">
        <f>'RECAP #9455.00'!F15</f>
        <v>127397.65</v>
      </c>
      <c r="K30" s="129">
        <f>'RECAP #9455.00'!G15</f>
        <v>859890.78</v>
      </c>
      <c r="L30" s="132"/>
      <c r="M30" s="132"/>
      <c r="N30" s="132"/>
      <c r="O30" s="244">
        <f>'#9455.00 PM TIME '!I23</f>
        <v>46697.34</v>
      </c>
      <c r="P30" s="132"/>
      <c r="Q30" s="132"/>
      <c r="R30" s="132"/>
      <c r="S30" s="132"/>
      <c r="T30" s="132"/>
      <c r="U30" s="132"/>
      <c r="V30" s="132"/>
      <c r="W30" s="132"/>
    </row>
    <row r="31" spans="1:23" s="133" customFormat="1" x14ac:dyDescent="0.2">
      <c r="A31" s="126"/>
      <c r="B31" s="127" t="s">
        <v>108</v>
      </c>
      <c r="C31" s="138" t="s">
        <v>118</v>
      </c>
      <c r="D31" s="126" t="s">
        <v>102</v>
      </c>
      <c r="E31" s="137">
        <v>300000</v>
      </c>
      <c r="F31" s="129"/>
      <c r="G31" s="137">
        <f t="shared" si="0"/>
        <v>300000</v>
      </c>
      <c r="H31" s="129">
        <f>'RECAP #9456.00'!D14</f>
        <v>37471.919999999998</v>
      </c>
      <c r="I31" s="129">
        <f>'RECAP #9456.00'!E14</f>
        <v>1392.6</v>
      </c>
      <c r="J31" s="129">
        <f>'RECAP #9456.00'!F14</f>
        <v>36079.32</v>
      </c>
      <c r="K31" s="129">
        <f>'RECAP #9456.00'!G14</f>
        <v>262528.08</v>
      </c>
      <c r="L31" s="132"/>
      <c r="M31" s="132"/>
      <c r="N31" s="132"/>
      <c r="O31" s="244">
        <f>'#9456.00 PM TIME '!I23</f>
        <v>12655.91</v>
      </c>
      <c r="P31" s="132"/>
      <c r="Q31" s="132"/>
      <c r="R31" s="132"/>
      <c r="S31" s="132"/>
      <c r="T31" s="132"/>
      <c r="U31" s="132"/>
      <c r="V31" s="132"/>
      <c r="W31" s="132"/>
    </row>
    <row r="32" spans="1:23" s="133" customFormat="1" x14ac:dyDescent="0.2">
      <c r="A32" s="126"/>
      <c r="B32" s="127" t="s">
        <v>109</v>
      </c>
      <c r="C32" s="138" t="s">
        <v>119</v>
      </c>
      <c r="D32" s="126" t="s">
        <v>102</v>
      </c>
      <c r="E32" s="137">
        <v>300000</v>
      </c>
      <c r="F32" s="129"/>
      <c r="G32" s="137">
        <f t="shared" si="0"/>
        <v>300000</v>
      </c>
      <c r="H32" s="129">
        <f>'RECAP #9457.00'!D14</f>
        <v>37471.919999999998</v>
      </c>
      <c r="I32" s="129">
        <f>'RECAP #9457.00'!E14</f>
        <v>344.09</v>
      </c>
      <c r="J32" s="129">
        <f>'RECAP #9457.00'!F14</f>
        <v>37127.83</v>
      </c>
      <c r="K32" s="129">
        <f>'RECAP #9457.00'!G14</f>
        <v>262528.08</v>
      </c>
      <c r="L32" s="132"/>
      <c r="M32" s="132"/>
      <c r="N32" s="132"/>
      <c r="O32" s="244">
        <f>'#9457.00 PM TIME'!I23</f>
        <v>12655.91</v>
      </c>
      <c r="P32" s="132"/>
      <c r="Q32" s="132"/>
      <c r="R32" s="132"/>
      <c r="S32" s="132"/>
      <c r="T32" s="132"/>
      <c r="U32" s="132"/>
      <c r="V32" s="132"/>
      <c r="W32" s="132"/>
    </row>
    <row r="33" spans="1:25" s="133" customFormat="1" x14ac:dyDescent="0.2">
      <c r="A33" s="139"/>
      <c r="B33" s="127" t="s">
        <v>110</v>
      </c>
      <c r="C33" s="138" t="s">
        <v>120</v>
      </c>
      <c r="D33" s="126" t="s">
        <v>102</v>
      </c>
      <c r="E33" s="137">
        <v>300000</v>
      </c>
      <c r="F33" s="129"/>
      <c r="G33" s="137">
        <f t="shared" si="0"/>
        <v>300000</v>
      </c>
      <c r="H33" s="129">
        <f>'RECAP #9458.00'!D14</f>
        <v>25563.96</v>
      </c>
      <c r="I33" s="129">
        <f>'RECAP #9458.00'!E14</f>
        <v>1943.81</v>
      </c>
      <c r="J33" s="129">
        <f>'RECAP #9458.00'!F14</f>
        <v>23620.149999999998</v>
      </c>
      <c r="K33" s="129">
        <f>'RECAP #9458.00'!G14</f>
        <v>274436.03999999998</v>
      </c>
      <c r="L33" s="132"/>
      <c r="M33" s="132"/>
      <c r="N33" s="132"/>
      <c r="O33" s="244">
        <f>'#9458.00 PM TIME'!I23</f>
        <v>8056.1900000000005</v>
      </c>
      <c r="P33" s="132"/>
      <c r="Q33" s="132"/>
      <c r="R33" s="132"/>
      <c r="S33" s="132"/>
      <c r="T33" s="132"/>
      <c r="U33" s="132"/>
      <c r="V33" s="132"/>
      <c r="W33" s="132"/>
    </row>
    <row r="34" spans="1:25" s="133" customFormat="1" x14ac:dyDescent="0.2">
      <c r="A34" s="126"/>
      <c r="B34" s="127" t="s">
        <v>112</v>
      </c>
      <c r="C34" s="138" t="s">
        <v>334</v>
      </c>
      <c r="D34" s="126" t="s">
        <v>122</v>
      </c>
      <c r="E34" s="137">
        <v>300000</v>
      </c>
      <c r="F34" s="129"/>
      <c r="G34" s="137">
        <f t="shared" si="0"/>
        <v>300000</v>
      </c>
      <c r="H34" s="129">
        <f>'RECAP #9459.00'!D15</f>
        <v>44261.41</v>
      </c>
      <c r="I34" s="129">
        <f>'RECAP #9459.00'!E15</f>
        <v>10371.119999999999</v>
      </c>
      <c r="J34" s="129">
        <f>'RECAP #9459.00'!F15</f>
        <v>33890.290000000008</v>
      </c>
      <c r="K34" s="129">
        <f>'RECAP #9459.00'!G15</f>
        <v>255738.59</v>
      </c>
      <c r="L34" s="132"/>
      <c r="M34" s="132"/>
      <c r="N34" s="132"/>
      <c r="O34" s="244">
        <f>'#9459.00 PM TIME'!I23</f>
        <v>2459.04</v>
      </c>
      <c r="P34" s="132"/>
      <c r="Q34" s="132"/>
      <c r="R34" s="132"/>
      <c r="S34" s="132"/>
      <c r="T34" s="132"/>
      <c r="U34" s="132"/>
      <c r="V34" s="132"/>
      <c r="W34" s="132"/>
    </row>
    <row r="35" spans="1:25" x14ac:dyDescent="0.2">
      <c r="A35" s="140"/>
      <c r="B35" s="127" t="s">
        <v>111</v>
      </c>
      <c r="C35" s="138" t="s">
        <v>121</v>
      </c>
      <c r="D35" s="126" t="s">
        <v>123</v>
      </c>
      <c r="E35" s="137">
        <v>2355000</v>
      </c>
      <c r="F35" s="129"/>
      <c r="G35" s="137">
        <f t="shared" si="0"/>
        <v>2355000</v>
      </c>
      <c r="H35" s="129">
        <f>'RECAP #9460.00'!D15</f>
        <v>76140.56</v>
      </c>
      <c r="I35" s="129">
        <f>'RECAP #9460.00'!E15</f>
        <v>12140.93</v>
      </c>
      <c r="J35" s="129">
        <f>'RECAP #9460.00'!F15</f>
        <v>63999.63</v>
      </c>
      <c r="K35" s="129">
        <f>'RECAP #9460.00'!G15</f>
        <v>2278859.44</v>
      </c>
      <c r="O35" s="244">
        <f>'#9460.00 PM TIME'!I23</f>
        <v>30460.510000000002</v>
      </c>
    </row>
    <row r="36" spans="1:25" x14ac:dyDescent="0.2">
      <c r="A36" s="140"/>
      <c r="B36" s="127" t="s">
        <v>370</v>
      </c>
      <c r="C36" s="138" t="s">
        <v>372</v>
      </c>
      <c r="D36" s="126" t="s">
        <v>102</v>
      </c>
      <c r="E36" s="137">
        <v>610000</v>
      </c>
      <c r="F36" s="129"/>
      <c r="G36" s="137">
        <f t="shared" si="0"/>
        <v>610000</v>
      </c>
      <c r="H36" s="129">
        <f>'RECAP #9462.00'!D14</f>
        <v>0</v>
      </c>
      <c r="I36" s="129">
        <f>'RECAP #9462.00'!E14</f>
        <v>0</v>
      </c>
      <c r="J36" s="129">
        <f>'RECAP #9462.00'!F14</f>
        <v>0</v>
      </c>
      <c r="K36" s="129">
        <f>'RECAP #9462.00'!G14</f>
        <v>610000</v>
      </c>
      <c r="O36" s="244"/>
    </row>
    <row r="37" spans="1:25" x14ac:dyDescent="0.2">
      <c r="A37" s="140"/>
      <c r="B37" s="127" t="s">
        <v>371</v>
      </c>
      <c r="C37" s="138" t="s">
        <v>373</v>
      </c>
      <c r="D37" s="126" t="s">
        <v>122</v>
      </c>
      <c r="E37" s="137">
        <v>500000</v>
      </c>
      <c r="F37" s="129"/>
      <c r="G37" s="137">
        <f t="shared" si="0"/>
        <v>500000</v>
      </c>
      <c r="H37" s="129">
        <f>'RECAP #9463.00'!D14</f>
        <v>0</v>
      </c>
      <c r="I37" s="129">
        <f>'RECAP #9463.00'!E14</f>
        <v>0</v>
      </c>
      <c r="J37" s="129">
        <f>'RECAP #9463.00'!F14</f>
        <v>0</v>
      </c>
      <c r="K37" s="129">
        <f>'RECAP #9463.00'!G14</f>
        <v>500000</v>
      </c>
      <c r="O37" s="244"/>
    </row>
    <row r="38" spans="1:25" x14ac:dyDescent="0.2">
      <c r="A38" s="140"/>
      <c r="B38" s="127"/>
      <c r="C38" s="141"/>
      <c r="D38" s="126"/>
      <c r="E38" s="137"/>
      <c r="F38" s="129"/>
      <c r="G38" s="137">
        <f t="shared" si="0"/>
        <v>0</v>
      </c>
      <c r="H38" s="129"/>
      <c r="I38" s="129"/>
      <c r="J38" s="129"/>
      <c r="K38" s="129"/>
      <c r="O38" s="244"/>
    </row>
    <row r="39" spans="1:25" x14ac:dyDescent="0.2">
      <c r="A39" s="140"/>
      <c r="B39" s="127"/>
      <c r="C39" s="141"/>
      <c r="D39" s="126"/>
      <c r="E39" s="137"/>
      <c r="F39" s="129"/>
      <c r="G39" s="137">
        <f t="shared" si="0"/>
        <v>0</v>
      </c>
      <c r="H39" s="129"/>
      <c r="I39" s="129"/>
      <c r="J39" s="129"/>
      <c r="K39" s="129"/>
      <c r="O39" s="244"/>
    </row>
    <row r="40" spans="1:25" x14ac:dyDescent="0.2">
      <c r="A40" s="140"/>
      <c r="B40" s="127"/>
      <c r="C40" s="142"/>
      <c r="D40" s="126"/>
      <c r="E40" s="137"/>
      <c r="F40" s="129"/>
      <c r="G40" s="137">
        <f t="shared" si="0"/>
        <v>0</v>
      </c>
      <c r="H40" s="129"/>
      <c r="I40" s="129"/>
      <c r="J40" s="129"/>
      <c r="K40" s="129"/>
      <c r="O40" s="244"/>
    </row>
    <row r="41" spans="1:25" x14ac:dyDescent="0.2">
      <c r="A41" s="140"/>
      <c r="B41" s="127"/>
      <c r="C41" s="141"/>
      <c r="D41" s="126"/>
      <c r="E41" s="137"/>
      <c r="F41" s="129"/>
      <c r="G41" s="137">
        <f t="shared" si="0"/>
        <v>0</v>
      </c>
      <c r="H41" s="129"/>
      <c r="I41" s="129"/>
      <c r="J41" s="129"/>
      <c r="K41" s="129"/>
      <c r="O41" s="244"/>
    </row>
    <row r="42" spans="1:25" x14ac:dyDescent="0.2">
      <c r="A42" s="143"/>
      <c r="B42" s="127"/>
      <c r="C42" s="141"/>
      <c r="D42" s="126"/>
      <c r="E42" s="137"/>
      <c r="F42" s="129"/>
      <c r="G42" s="137">
        <f t="shared" si="0"/>
        <v>0</v>
      </c>
      <c r="H42" s="129"/>
      <c r="I42" s="129"/>
      <c r="J42" s="144"/>
      <c r="K42" s="129"/>
      <c r="O42" s="244"/>
    </row>
    <row r="43" spans="1:25" x14ac:dyDescent="0.2">
      <c r="A43" s="140"/>
      <c r="B43" s="127"/>
      <c r="C43" s="141"/>
      <c r="D43" s="126"/>
      <c r="E43" s="137"/>
      <c r="F43" s="129"/>
      <c r="G43" s="137">
        <f t="shared" si="0"/>
        <v>0</v>
      </c>
      <c r="H43" s="129"/>
      <c r="I43" s="129"/>
      <c r="J43" s="129"/>
      <c r="K43" s="129"/>
      <c r="O43" s="244"/>
    </row>
    <row r="44" spans="1:25" x14ac:dyDescent="0.2">
      <c r="A44" s="140"/>
      <c r="B44" s="127"/>
      <c r="C44" s="141"/>
      <c r="D44" s="126"/>
      <c r="E44" s="137"/>
      <c r="F44" s="129"/>
      <c r="G44" s="137">
        <f t="shared" si="0"/>
        <v>0</v>
      </c>
      <c r="H44" s="129"/>
      <c r="I44" s="129"/>
      <c r="J44" s="129"/>
      <c r="K44" s="129"/>
      <c r="O44" s="244"/>
    </row>
    <row r="45" spans="1:25" x14ac:dyDescent="0.2">
      <c r="A45" s="140"/>
      <c r="B45" s="127"/>
      <c r="C45" s="141"/>
      <c r="D45" s="126"/>
      <c r="E45" s="137"/>
      <c r="F45" s="129"/>
      <c r="G45" s="137">
        <f t="shared" si="0"/>
        <v>0</v>
      </c>
      <c r="H45" s="129"/>
      <c r="I45" s="129"/>
      <c r="J45" s="129"/>
      <c r="K45" s="129"/>
      <c r="O45" s="244"/>
    </row>
    <row r="46" spans="1:25" x14ac:dyDescent="0.2">
      <c r="A46" s="140"/>
      <c r="B46" s="127"/>
      <c r="C46" s="141"/>
      <c r="D46" s="126"/>
      <c r="E46" s="137"/>
      <c r="F46" s="137"/>
      <c r="G46" s="137"/>
      <c r="H46" s="129"/>
      <c r="I46" s="129"/>
      <c r="J46" s="129"/>
      <c r="K46" s="129"/>
      <c r="O46" s="244"/>
    </row>
    <row r="47" spans="1:25" x14ac:dyDescent="0.2">
      <c r="A47" s="140"/>
      <c r="B47" s="145"/>
      <c r="C47" s="146"/>
      <c r="D47" s="147"/>
      <c r="E47" s="137"/>
      <c r="F47" s="137"/>
      <c r="G47" s="137"/>
      <c r="H47" s="137"/>
      <c r="I47" s="137"/>
      <c r="J47" s="137"/>
      <c r="K47" s="137"/>
      <c r="O47" s="244"/>
    </row>
    <row r="48" spans="1:25" s="104" customFormat="1" ht="13.5" thickBot="1" x14ac:dyDescent="0.25">
      <c r="A48" s="148"/>
      <c r="B48" s="149"/>
      <c r="C48" s="150" t="s">
        <v>61</v>
      </c>
      <c r="D48" s="151"/>
      <c r="E48" s="152">
        <f>SUM(E13:E47)</f>
        <v>20668000</v>
      </c>
      <c r="F48" s="152">
        <f t="shared" ref="F48:K48" si="1">SUM(F13:F47)</f>
        <v>0</v>
      </c>
      <c r="G48" s="152">
        <f t="shared" si="1"/>
        <v>20668000</v>
      </c>
      <c r="H48" s="152">
        <f t="shared" si="1"/>
        <v>1372935.2399999998</v>
      </c>
      <c r="I48" s="152">
        <f t="shared" si="1"/>
        <v>122324.38999999998</v>
      </c>
      <c r="J48" s="152">
        <f t="shared" si="1"/>
        <v>1250610.8499999999</v>
      </c>
      <c r="K48" s="152">
        <f t="shared" si="1"/>
        <v>19295064.760000002</v>
      </c>
      <c r="L48" s="105"/>
      <c r="M48" s="105"/>
      <c r="N48" s="105"/>
      <c r="O48" s="242"/>
      <c r="P48" s="105"/>
      <c r="Q48" s="105"/>
      <c r="R48" s="105"/>
      <c r="S48" s="105"/>
      <c r="T48" s="105"/>
      <c r="U48" s="105"/>
      <c r="V48" s="105"/>
      <c r="W48" s="105"/>
      <c r="X48" s="105"/>
      <c r="Y48" s="105"/>
    </row>
    <row r="49" spans="1:23" ht="13.5" thickBot="1" x14ac:dyDescent="0.25">
      <c r="A49" s="153"/>
      <c r="B49" s="154"/>
      <c r="C49" s="155"/>
      <c r="D49" s="156"/>
      <c r="E49" s="157"/>
      <c r="F49" s="157"/>
      <c r="G49" s="157"/>
      <c r="H49" s="157"/>
      <c r="I49" s="157"/>
      <c r="J49" s="158"/>
      <c r="K49" s="159"/>
    </row>
    <row r="50" spans="1:23" x14ac:dyDescent="0.2">
      <c r="A50" s="115"/>
      <c r="B50" s="160"/>
      <c r="C50" s="161"/>
      <c r="D50" s="118"/>
      <c r="E50" s="162"/>
      <c r="F50" s="162"/>
      <c r="G50" s="163" t="s">
        <v>62</v>
      </c>
      <c r="H50" s="162"/>
      <c r="I50" s="164"/>
      <c r="J50" s="165"/>
      <c r="K50" s="166">
        <f>E8</f>
        <v>1332000</v>
      </c>
    </row>
    <row r="51" spans="1:23" ht="26.25" thickBot="1" x14ac:dyDescent="0.25">
      <c r="A51" s="115"/>
      <c r="B51" s="167"/>
      <c r="C51" s="264" t="s">
        <v>63</v>
      </c>
      <c r="D51" s="168"/>
      <c r="E51" s="169"/>
      <c r="F51" s="169"/>
      <c r="G51" s="170" t="s">
        <v>64</v>
      </c>
      <c r="H51" s="169"/>
      <c r="I51" s="164"/>
      <c r="J51" s="165"/>
      <c r="K51" s="171">
        <f>SUM(K48:K50)</f>
        <v>20627064.760000002</v>
      </c>
    </row>
    <row r="52" spans="1:23" ht="13.5" thickTop="1" x14ac:dyDescent="0.2">
      <c r="A52" s="115"/>
      <c r="B52" s="160"/>
      <c r="C52" s="172" t="s">
        <v>5</v>
      </c>
      <c r="D52" s="118"/>
      <c r="E52" s="119"/>
      <c r="F52" s="119"/>
      <c r="G52" s="173" t="s">
        <v>65</v>
      </c>
      <c r="H52" s="119"/>
      <c r="J52" s="166">
        <f>E6</f>
        <v>22000000</v>
      </c>
    </row>
    <row r="53" spans="1:23" x14ac:dyDescent="0.2">
      <c r="A53" s="115"/>
      <c r="B53" s="160"/>
      <c r="C53" s="161"/>
      <c r="D53" s="118"/>
      <c r="E53" s="119"/>
      <c r="F53" s="119"/>
      <c r="G53" s="174" t="s">
        <v>66</v>
      </c>
      <c r="H53" s="119"/>
      <c r="J53" s="175">
        <f>H48*-1</f>
        <v>-1372935.2399999998</v>
      </c>
      <c r="K53" s="166">
        <f>SUM(J52:J53)</f>
        <v>20627064.760000002</v>
      </c>
    </row>
    <row r="54" spans="1:23" ht="13.5" thickBot="1" x14ac:dyDescent="0.25">
      <c r="A54" s="115"/>
      <c r="B54" s="99"/>
      <c r="C54" s="161"/>
      <c r="D54" s="118"/>
      <c r="E54" s="119"/>
      <c r="F54" s="119"/>
      <c r="G54" s="173" t="s">
        <v>67</v>
      </c>
      <c r="H54" s="119"/>
      <c r="K54" s="176">
        <f>K51-K53</f>
        <v>0</v>
      </c>
    </row>
    <row r="55" spans="1:23" ht="13.5" thickTop="1" x14ac:dyDescent="0.2">
      <c r="A55" s="115"/>
      <c r="B55" s="160"/>
      <c r="C55" s="161"/>
      <c r="D55" s="118"/>
      <c r="E55" s="119"/>
      <c r="F55" s="119"/>
      <c r="G55" s="119"/>
      <c r="H55" s="119"/>
      <c r="I55" s="119"/>
    </row>
    <row r="56" spans="1:23" x14ac:dyDescent="0.2">
      <c r="A56" s="115"/>
      <c r="B56" s="160"/>
      <c r="C56" s="161"/>
      <c r="D56" s="118"/>
      <c r="E56" s="119"/>
      <c r="F56" s="119"/>
      <c r="G56" s="119"/>
      <c r="H56" s="119"/>
      <c r="I56" s="119"/>
    </row>
    <row r="57" spans="1:23" x14ac:dyDescent="0.2">
      <c r="B57" s="160"/>
      <c r="C57" s="161"/>
      <c r="D57" s="118"/>
      <c r="E57" s="119"/>
      <c r="F57" s="119"/>
      <c r="G57" s="119"/>
      <c r="H57" s="119"/>
    </row>
    <row r="58" spans="1:23" s="133" customFormat="1" x14ac:dyDescent="0.2">
      <c r="B58" s="177"/>
      <c r="C58" s="178"/>
      <c r="D58" s="179"/>
      <c r="E58" s="180"/>
      <c r="F58" s="180"/>
      <c r="G58" s="180"/>
      <c r="H58" s="180"/>
      <c r="I58" s="180"/>
      <c r="J58" s="132"/>
      <c r="K58" s="132"/>
      <c r="L58" s="132"/>
      <c r="M58" s="132"/>
      <c r="N58" s="132"/>
      <c r="O58" s="244"/>
      <c r="P58" s="132"/>
      <c r="Q58" s="132"/>
      <c r="R58" s="132"/>
      <c r="S58" s="132"/>
      <c r="T58" s="132"/>
      <c r="U58" s="132"/>
      <c r="V58" s="132"/>
      <c r="W58" s="132"/>
    </row>
    <row r="59" spans="1:23" x14ac:dyDescent="0.2">
      <c r="B59" s="181"/>
      <c r="C59" s="182"/>
      <c r="D59" s="183"/>
      <c r="E59" s="105"/>
      <c r="F59" s="184"/>
      <c r="G59" s="184"/>
      <c r="H59" s="184"/>
      <c r="I59" s="184"/>
      <c r="J59" s="184"/>
      <c r="K59" s="184"/>
    </row>
    <row r="60" spans="1:23" x14ac:dyDescent="0.2">
      <c r="B60" s="99"/>
      <c r="D60" s="99"/>
      <c r="E60" s="99"/>
      <c r="F60" s="185"/>
      <c r="G60" s="185"/>
      <c r="H60" s="186"/>
      <c r="I60" s="186"/>
      <c r="J60" s="186"/>
      <c r="K60" s="186"/>
    </row>
    <row r="61" spans="1:23" x14ac:dyDescent="0.2">
      <c r="B61" s="181"/>
      <c r="C61" s="187"/>
      <c r="D61" s="183"/>
      <c r="E61" s="105"/>
      <c r="F61" s="184"/>
      <c r="G61" s="184"/>
      <c r="H61" s="184"/>
      <c r="I61" s="184"/>
      <c r="J61" s="184"/>
      <c r="K61" s="184"/>
    </row>
    <row r="62" spans="1:23" s="105" customFormat="1" x14ac:dyDescent="0.2">
      <c r="B62" s="181"/>
      <c r="C62" s="99"/>
      <c r="D62" s="183"/>
      <c r="F62" s="184"/>
      <c r="G62" s="184"/>
      <c r="H62" s="184"/>
      <c r="I62" s="184"/>
      <c r="J62" s="184"/>
      <c r="K62" s="184"/>
      <c r="O62" s="242"/>
    </row>
    <row r="63" spans="1:23" s="105" customFormat="1" x14ac:dyDescent="0.2">
      <c r="B63" s="181"/>
      <c r="D63" s="183"/>
      <c r="F63" s="184"/>
      <c r="G63" s="184"/>
      <c r="H63" s="184"/>
      <c r="I63" s="184"/>
      <c r="J63" s="184"/>
      <c r="K63" s="184"/>
      <c r="O63" s="242"/>
    </row>
    <row r="64" spans="1:23" s="105" customFormat="1" x14ac:dyDescent="0.2">
      <c r="B64" s="181"/>
      <c r="D64" s="183"/>
      <c r="F64" s="184"/>
      <c r="G64" s="184"/>
      <c r="H64" s="184"/>
      <c r="I64" s="184"/>
      <c r="J64" s="184"/>
      <c r="K64" s="184"/>
      <c r="O64" s="242"/>
    </row>
    <row r="65" spans="2:15" s="105" customFormat="1" x14ac:dyDescent="0.2">
      <c r="B65" s="181"/>
      <c r="D65" s="183"/>
      <c r="O65" s="242"/>
    </row>
    <row r="66" spans="2:15" s="105" customFormat="1" x14ac:dyDescent="0.2">
      <c r="B66" s="181"/>
      <c r="D66" s="183"/>
      <c r="O66" s="242"/>
    </row>
    <row r="67" spans="2:15" s="105" customFormat="1" x14ac:dyDescent="0.2">
      <c r="B67" s="181"/>
      <c r="D67" s="183"/>
      <c r="O67" s="242"/>
    </row>
    <row r="68" spans="2:15" s="105" customFormat="1" x14ac:dyDescent="0.2">
      <c r="B68" s="181"/>
      <c r="D68" s="183"/>
      <c r="O68" s="242"/>
    </row>
    <row r="69" spans="2:15" s="105" customFormat="1" x14ac:dyDescent="0.2">
      <c r="B69" s="181"/>
      <c r="D69" s="183"/>
      <c r="O69" s="242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83"/>
  <dimension ref="A1:I627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9.85546875" style="76" customWidth="1"/>
    <col min="2" max="2" width="15.85546875" style="77" customWidth="1"/>
    <col min="3" max="3" width="14" style="78" customWidth="1"/>
    <col min="4" max="4" width="23" style="65" customWidth="1"/>
    <col min="5" max="5" width="18.7109375" style="80" customWidth="1"/>
    <col min="6" max="6" width="8.42578125" style="80" bestFit="1" customWidth="1"/>
    <col min="7" max="7" width="14" style="80" bestFit="1" customWidth="1"/>
    <col min="8" max="8" width="14" style="65" bestFit="1" customWidth="1"/>
    <col min="9" max="16384" width="11.42578125" style="65"/>
  </cols>
  <sheetData>
    <row r="1" spans="1:9" s="35" customFormat="1" ht="24.75" customHeight="1" x14ac:dyDescent="0.25">
      <c r="A1" s="2" t="s">
        <v>0</v>
      </c>
      <c r="B1" s="190"/>
      <c r="C1" s="191"/>
      <c r="D1" s="104"/>
      <c r="E1" s="104"/>
      <c r="F1" s="2"/>
      <c r="G1" s="3"/>
      <c r="H1" s="4"/>
    </row>
    <row r="2" spans="1:9" s="35" customFormat="1" ht="15.75" x14ac:dyDescent="0.25">
      <c r="A2" s="6" t="s">
        <v>1</v>
      </c>
      <c r="B2" s="190"/>
      <c r="C2" s="192" t="s">
        <v>5</v>
      </c>
      <c r="D2" s="99"/>
      <c r="E2" s="99"/>
      <c r="F2" s="6"/>
      <c r="G2" s="5"/>
      <c r="H2" s="4"/>
    </row>
    <row r="3" spans="1:9" s="35" customFormat="1" ht="15.75" x14ac:dyDescent="0.25">
      <c r="A3" s="7" t="s">
        <v>2</v>
      </c>
      <c r="B3" s="190"/>
      <c r="C3" s="192" t="s">
        <v>5</v>
      </c>
      <c r="D3" s="193" t="str">
        <f>'[1]RECAP #XXXX.XX'!E3</f>
        <v>Major Program xxxx</v>
      </c>
      <c r="E3" s="104"/>
      <c r="F3" s="7"/>
      <c r="G3" s="5"/>
      <c r="H3" s="4"/>
    </row>
    <row r="4" spans="1:9" s="35" customFormat="1" ht="15.75" x14ac:dyDescent="0.25">
      <c r="A4" s="36" t="s">
        <v>72</v>
      </c>
      <c r="B4" s="194" t="s">
        <v>5</v>
      </c>
      <c r="C4" s="104"/>
      <c r="D4" s="104"/>
      <c r="E4" s="104"/>
      <c r="F4" s="9"/>
      <c r="G4" s="10"/>
      <c r="H4" s="4"/>
    </row>
    <row r="5" spans="1:9" s="35" customFormat="1" ht="15.75" x14ac:dyDescent="0.25">
      <c r="A5" s="11" t="s">
        <v>69</v>
      </c>
      <c r="B5" s="195"/>
      <c r="C5" s="196"/>
      <c r="D5" s="197"/>
      <c r="E5" s="190"/>
      <c r="F5" s="11"/>
      <c r="G5" s="5"/>
      <c r="H5" s="4"/>
    </row>
    <row r="6" spans="1:9" s="35" customFormat="1" ht="15.75" x14ac:dyDescent="0.25">
      <c r="A6" s="13" t="s">
        <v>6</v>
      </c>
      <c r="B6" s="195"/>
      <c r="C6" s="198"/>
      <c r="D6" s="197"/>
      <c r="E6" s="195"/>
      <c r="F6" s="13"/>
      <c r="G6" s="14"/>
      <c r="H6" s="15"/>
    </row>
    <row r="7" spans="1:9" s="35" customFormat="1" ht="18" x14ac:dyDescent="0.25">
      <c r="A7" s="199"/>
      <c r="B7" s="200"/>
      <c r="C7" s="201"/>
      <c r="D7" s="202"/>
      <c r="E7" s="200"/>
      <c r="F7" s="203"/>
      <c r="G7" s="201"/>
      <c r="H7" s="201"/>
      <c r="I7" s="35" t="s">
        <v>5</v>
      </c>
    </row>
    <row r="8" spans="1:9" s="35" customFormat="1" ht="27" thickBot="1" x14ac:dyDescent="0.3">
      <c r="A8" s="204" t="s">
        <v>21</v>
      </c>
      <c r="B8" s="205" t="s">
        <v>73</v>
      </c>
      <c r="C8" s="206" t="s">
        <v>74</v>
      </c>
      <c r="D8" s="206" t="s">
        <v>75</v>
      </c>
      <c r="E8" s="205" t="s">
        <v>76</v>
      </c>
      <c r="F8" s="207" t="s">
        <v>77</v>
      </c>
      <c r="G8" s="206" t="s">
        <v>74</v>
      </c>
      <c r="H8" s="208" t="s">
        <v>78</v>
      </c>
      <c r="I8" s="35" t="s">
        <v>5</v>
      </c>
    </row>
    <row r="9" spans="1:9" x14ac:dyDescent="0.2">
      <c r="A9" s="209"/>
      <c r="B9" s="84"/>
      <c r="C9" s="210"/>
      <c r="D9" s="211"/>
      <c r="E9" s="212"/>
      <c r="F9" s="213"/>
      <c r="G9" s="214"/>
      <c r="H9" s="215"/>
    </row>
    <row r="10" spans="1:9" x14ac:dyDescent="0.2">
      <c r="A10" s="209"/>
      <c r="B10" s="209"/>
      <c r="C10" s="216"/>
      <c r="D10" s="211"/>
      <c r="E10" s="209"/>
      <c r="F10" s="209"/>
      <c r="G10" s="217"/>
      <c r="H10" s="218"/>
    </row>
    <row r="11" spans="1:9" x14ac:dyDescent="0.2">
      <c r="A11" s="219"/>
      <c r="B11" s="220"/>
      <c r="C11" s="221"/>
      <c r="D11" s="210"/>
      <c r="E11" s="222"/>
      <c r="F11" s="66"/>
      <c r="G11" s="223"/>
      <c r="H11" s="215"/>
    </row>
    <row r="12" spans="1:9" x14ac:dyDescent="0.2">
      <c r="A12" s="219"/>
      <c r="B12" s="220"/>
      <c r="C12" s="224"/>
      <c r="D12" s="210"/>
      <c r="E12" s="84"/>
      <c r="F12" s="66"/>
      <c r="G12" s="225"/>
      <c r="H12" s="226"/>
    </row>
    <row r="13" spans="1:9" x14ac:dyDescent="0.2">
      <c r="A13" s="66"/>
      <c r="B13" s="227"/>
      <c r="C13" s="224"/>
      <c r="D13" s="228"/>
      <c r="E13" s="84"/>
      <c r="F13" s="66"/>
      <c r="G13" s="229"/>
      <c r="H13" s="226"/>
    </row>
    <row r="14" spans="1:9" x14ac:dyDescent="0.2">
      <c r="A14" s="219"/>
      <c r="B14" s="230"/>
      <c r="C14" s="224"/>
      <c r="D14" s="228"/>
      <c r="E14" s="230"/>
      <c r="F14" s="66"/>
      <c r="G14" s="225"/>
      <c r="H14" s="226"/>
    </row>
    <row r="15" spans="1:9" x14ac:dyDescent="0.2">
      <c r="A15" s="219"/>
      <c r="B15" s="230"/>
      <c r="C15" s="231"/>
      <c r="D15" s="232"/>
      <c r="E15" s="227"/>
      <c r="F15" s="219"/>
      <c r="G15" s="233"/>
      <c r="H15" s="226"/>
    </row>
    <row r="16" spans="1:9" x14ac:dyDescent="0.2">
      <c r="A16" s="219"/>
      <c r="B16" s="230"/>
      <c r="C16" s="231" t="s">
        <v>5</v>
      </c>
      <c r="D16" s="232"/>
      <c r="E16" s="230"/>
      <c r="F16" s="219"/>
      <c r="G16" s="233"/>
      <c r="H16" s="226"/>
    </row>
    <row r="17" spans="1:8" x14ac:dyDescent="0.2">
      <c r="A17" s="219"/>
      <c r="B17" s="230"/>
      <c r="C17" s="231"/>
      <c r="D17" s="232"/>
      <c r="E17" s="230"/>
      <c r="F17" s="219"/>
      <c r="G17" s="234"/>
      <c r="H17" s="226"/>
    </row>
    <row r="18" spans="1:8" x14ac:dyDescent="0.2">
      <c r="A18" s="219"/>
      <c r="B18" s="5"/>
      <c r="C18" s="231"/>
      <c r="D18" s="232"/>
      <c r="E18" s="230"/>
      <c r="F18" s="219"/>
      <c r="G18" s="233"/>
      <c r="H18" s="226"/>
    </row>
    <row r="19" spans="1:8" x14ac:dyDescent="0.2">
      <c r="A19" s="219"/>
      <c r="B19" s="230"/>
      <c r="C19" s="231"/>
      <c r="D19" s="232"/>
      <c r="E19" s="230"/>
      <c r="F19" s="219"/>
      <c r="G19" s="233"/>
      <c r="H19" s="226"/>
    </row>
    <row r="20" spans="1:8" x14ac:dyDescent="0.2">
      <c r="A20" s="219"/>
      <c r="B20" s="230"/>
      <c r="C20" s="231"/>
      <c r="D20" s="232"/>
      <c r="E20" s="230"/>
      <c r="F20" s="219"/>
      <c r="G20" s="234"/>
      <c r="H20" s="226"/>
    </row>
    <row r="21" spans="1:8" x14ac:dyDescent="0.2">
      <c r="A21" s="219"/>
      <c r="B21" s="230"/>
      <c r="C21" s="231"/>
      <c r="D21" s="232"/>
      <c r="E21" s="230"/>
      <c r="F21" s="219"/>
      <c r="G21" s="234"/>
      <c r="H21" s="226"/>
    </row>
    <row r="22" spans="1:8" x14ac:dyDescent="0.2">
      <c r="A22" s="219"/>
      <c r="B22" s="230"/>
      <c r="C22" s="231"/>
      <c r="D22" s="235"/>
      <c r="E22" s="230"/>
      <c r="F22" s="219"/>
      <c r="G22" s="233"/>
      <c r="H22" s="226"/>
    </row>
    <row r="23" spans="1:8" x14ac:dyDescent="0.2">
      <c r="A23" s="219"/>
      <c r="B23" s="230"/>
      <c r="C23" s="231"/>
      <c r="D23" s="222"/>
      <c r="E23" s="230"/>
      <c r="F23" s="219"/>
      <c r="G23" s="233"/>
      <c r="H23" s="226"/>
    </row>
    <row r="24" spans="1:8" ht="13.5" thickBot="1" x14ac:dyDescent="0.25">
      <c r="A24" s="236"/>
      <c r="B24" s="237" t="s">
        <v>79</v>
      </c>
      <c r="C24" s="238">
        <f>SUM(C9:C23)</f>
        <v>0</v>
      </c>
      <c r="D24" s="239" t="s">
        <v>80</v>
      </c>
      <c r="E24" s="240"/>
      <c r="F24" s="241"/>
      <c r="G24" s="72">
        <f>SUM(G9:G23)</f>
        <v>0</v>
      </c>
      <c r="H24" s="72">
        <f>SUM(H9:H23)</f>
        <v>0</v>
      </c>
    </row>
    <row r="25" spans="1:8" ht="13.5" thickTop="1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zoomScaleNormal="100" workbookViewId="0">
      <selection activeCell="D37" sqref="D3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59</v>
      </c>
      <c r="C1" s="3"/>
    </row>
    <row r="2" spans="1:8" ht="15.75" x14ac:dyDescent="0.25">
      <c r="B2" s="6" t="s">
        <v>81</v>
      </c>
    </row>
    <row r="3" spans="1:8" ht="15.75" x14ac:dyDescent="0.25">
      <c r="B3" s="7" t="s">
        <v>82</v>
      </c>
      <c r="E3" s="8" t="s">
        <v>84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75000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14</v>
      </c>
      <c r="C10" s="26"/>
      <c r="D10" s="24">
        <f>'#9997.25 PM TIME'!E28</f>
        <v>75000</v>
      </c>
      <c r="E10" s="24">
        <f>'#9997.25 PM TIME'!G28</f>
        <v>22736.370000000003</v>
      </c>
      <c r="F10" s="24">
        <f>'#9997.25 PM TIME'!I28</f>
        <v>52263.63</v>
      </c>
      <c r="G10" s="25"/>
      <c r="H10" s="17"/>
    </row>
    <row r="11" spans="1:8" s="17" customFormat="1" ht="13.35" customHeight="1" x14ac:dyDescent="0.2">
      <c r="A11" s="12"/>
      <c r="B11" s="5"/>
      <c r="C11" s="27"/>
      <c r="D11" s="28"/>
      <c r="E11" s="28"/>
      <c r="F11" s="24"/>
      <c r="G11" s="29"/>
    </row>
    <row r="12" spans="1:8" s="30" customFormat="1" ht="24" customHeight="1" thickBot="1" x14ac:dyDescent="0.3">
      <c r="B12" s="31" t="s">
        <v>16</v>
      </c>
      <c r="C12" s="32">
        <f>SUM(C8:C11)</f>
        <v>75000</v>
      </c>
      <c r="D12" s="32">
        <f>SUM(D8:D11)</f>
        <v>75000</v>
      </c>
      <c r="E12" s="32">
        <f>SUM(E8:E11)</f>
        <v>22736.370000000003</v>
      </c>
      <c r="F12" s="32">
        <f>SUM(D12-E12)</f>
        <v>52263.63</v>
      </c>
      <c r="G12" s="32">
        <f>C8-D12</f>
        <v>0</v>
      </c>
    </row>
    <row r="13" spans="1:8" s="17" customFormat="1" ht="13.35" customHeight="1" thickTop="1" x14ac:dyDescent="0.2">
      <c r="A13" s="12"/>
      <c r="B13" s="5"/>
      <c r="C13" s="5"/>
      <c r="D13" s="29"/>
      <c r="E13" s="29"/>
      <c r="F13" s="29"/>
      <c r="G13" s="29"/>
    </row>
    <row r="14" spans="1:8" s="17" customFormat="1" ht="13.35" customHeight="1" x14ac:dyDescent="0.2">
      <c r="A14" s="12"/>
      <c r="B14" s="5"/>
      <c r="C14" s="5"/>
      <c r="D14" s="29"/>
      <c r="E14" s="29"/>
      <c r="F14" s="29"/>
      <c r="G14" s="29"/>
    </row>
    <row r="15" spans="1:8" s="17" customFormat="1" ht="13.35" customHeight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x14ac:dyDescent="0.2">
      <c r="D21" s="33"/>
    </row>
    <row r="22" spans="1:7" x14ac:dyDescent="0.2">
      <c r="D22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2"/>
  <sheetViews>
    <sheetView zoomScaleNormal="100" workbookViewId="0">
      <selection activeCell="G21" sqref="G2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53.140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5.140625" style="65" customWidth="1"/>
    <col min="10" max="16384" width="11.42578125" style="65"/>
  </cols>
  <sheetData>
    <row r="1" spans="1:10" s="35" customFormat="1" ht="24.75" customHeight="1" x14ac:dyDescent="0.25">
      <c r="A1" s="2" t="s">
        <v>59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#9997.25'!B2</f>
        <v>Project # 9997.25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#9997.25'!B3</f>
        <v>Program code 999725</v>
      </c>
      <c r="B3" s="5"/>
      <c r="C3" s="5"/>
      <c r="D3" s="4"/>
      <c r="E3" s="8" t="str">
        <f>'RECAP #9997.25'!E3</f>
        <v>Major Program 3E01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85</v>
      </c>
      <c r="F6" s="50"/>
      <c r="G6" s="51"/>
      <c r="H6" s="47"/>
      <c r="I6" s="42"/>
    </row>
    <row r="7" spans="1:10" s="35" customFormat="1" ht="15.75" x14ac:dyDescent="0.25">
      <c r="A7" s="13" t="str">
        <f>'RECAP #9997.25'!B6</f>
        <v>Project Manager - NA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245" t="s">
        <v>86</v>
      </c>
      <c r="B10" s="60">
        <v>45511</v>
      </c>
      <c r="C10" s="246">
        <v>2507</v>
      </c>
      <c r="D10" s="83" t="s">
        <v>87</v>
      </c>
      <c r="E10" s="63"/>
      <c r="F10" s="63">
        <f t="shared" ref="F10:F26" si="0">F9+E10</f>
        <v>75000</v>
      </c>
      <c r="G10" s="250">
        <f>344.14+178.81+61.68</f>
        <v>584.63</v>
      </c>
      <c r="H10" s="64">
        <f t="shared" ref="H10:H26" si="1">H9+G10</f>
        <v>584.63</v>
      </c>
      <c r="I10" s="64">
        <f t="shared" ref="I10:I26" si="2">I9-G10+E10</f>
        <v>74415.37</v>
      </c>
    </row>
    <row r="11" spans="1:10" x14ac:dyDescent="0.2">
      <c r="A11" s="245" t="s">
        <v>86</v>
      </c>
      <c r="B11" s="60">
        <v>45511</v>
      </c>
      <c r="C11" s="246">
        <v>9500</v>
      </c>
      <c r="D11" s="83" t="s">
        <v>88</v>
      </c>
      <c r="E11" s="63"/>
      <c r="F11" s="63">
        <f t="shared" si="0"/>
        <v>75000</v>
      </c>
      <c r="G11" s="250">
        <f>450.5+1679.7+675</f>
        <v>2805.2</v>
      </c>
      <c r="H11" s="64">
        <f t="shared" si="1"/>
        <v>3389.83</v>
      </c>
      <c r="I11" s="64">
        <f t="shared" si="2"/>
        <v>71610.17</v>
      </c>
    </row>
    <row r="12" spans="1:10" x14ac:dyDescent="0.2">
      <c r="A12" s="245" t="s">
        <v>97</v>
      </c>
      <c r="B12" s="60">
        <v>45525</v>
      </c>
      <c r="C12" s="246">
        <v>2507</v>
      </c>
      <c r="D12" s="83" t="s">
        <v>98</v>
      </c>
      <c r="E12" s="63"/>
      <c r="F12" s="63">
        <f t="shared" si="0"/>
        <v>75000</v>
      </c>
      <c r="G12" s="248">
        <v>-61.68</v>
      </c>
      <c r="H12" s="64">
        <f t="shared" si="1"/>
        <v>3328.15</v>
      </c>
      <c r="I12" s="64">
        <f t="shared" si="2"/>
        <v>71671.849999999991</v>
      </c>
    </row>
    <row r="13" spans="1:10" x14ac:dyDescent="0.2">
      <c r="A13" s="245" t="s">
        <v>97</v>
      </c>
      <c r="B13" s="60">
        <v>45525</v>
      </c>
      <c r="C13" s="246">
        <v>9500</v>
      </c>
      <c r="D13" s="83" t="s">
        <v>99</v>
      </c>
      <c r="E13" s="63"/>
      <c r="F13" s="63">
        <f t="shared" si="0"/>
        <v>75000</v>
      </c>
      <c r="G13" s="248">
        <v>-675</v>
      </c>
      <c r="H13" s="64">
        <f t="shared" si="1"/>
        <v>2653.15</v>
      </c>
      <c r="I13" s="64">
        <f t="shared" si="2"/>
        <v>72346.849999999991</v>
      </c>
    </row>
    <row r="14" spans="1:10" x14ac:dyDescent="0.2">
      <c r="A14" s="257" t="s">
        <v>182</v>
      </c>
      <c r="B14" s="60">
        <v>45544</v>
      </c>
      <c r="C14" s="246">
        <v>2507</v>
      </c>
      <c r="D14" s="83" t="s">
        <v>183</v>
      </c>
      <c r="E14" s="63"/>
      <c r="F14" s="63">
        <f t="shared" si="0"/>
        <v>75000</v>
      </c>
      <c r="G14" s="250">
        <f>829.24+351.3</f>
        <v>1180.54</v>
      </c>
      <c r="H14" s="64">
        <f t="shared" si="1"/>
        <v>3833.69</v>
      </c>
      <c r="I14" s="64">
        <f t="shared" si="2"/>
        <v>71166.31</v>
      </c>
    </row>
    <row r="15" spans="1:10" x14ac:dyDescent="0.2">
      <c r="A15" s="257" t="s">
        <v>182</v>
      </c>
      <c r="B15" s="60">
        <v>45544</v>
      </c>
      <c r="C15" s="246">
        <v>9500</v>
      </c>
      <c r="D15" s="83" t="s">
        <v>184</v>
      </c>
      <c r="E15" s="63"/>
      <c r="F15" s="63">
        <f t="shared" si="0"/>
        <v>75000</v>
      </c>
      <c r="G15" s="250">
        <f>432.5+2110.9</f>
        <v>2543.4</v>
      </c>
      <c r="H15" s="64">
        <f t="shared" si="1"/>
        <v>6377.09</v>
      </c>
      <c r="I15" s="64">
        <f t="shared" si="2"/>
        <v>68622.91</v>
      </c>
    </row>
    <row r="16" spans="1:10" x14ac:dyDescent="0.2">
      <c r="A16" s="257" t="s">
        <v>198</v>
      </c>
      <c r="B16" s="60">
        <v>45574</v>
      </c>
      <c r="C16" s="246">
        <v>2507</v>
      </c>
      <c r="D16" s="83" t="s">
        <v>221</v>
      </c>
      <c r="E16" s="63"/>
      <c r="F16" s="63">
        <f t="shared" si="0"/>
        <v>75000</v>
      </c>
      <c r="G16" s="250">
        <f>438.12+158.47</f>
        <v>596.59</v>
      </c>
      <c r="H16" s="64">
        <f t="shared" si="1"/>
        <v>6973.68</v>
      </c>
      <c r="I16" s="64">
        <f t="shared" si="2"/>
        <v>68026.320000000007</v>
      </c>
    </row>
    <row r="17" spans="1:9" x14ac:dyDescent="0.2">
      <c r="A17" s="257" t="s">
        <v>198</v>
      </c>
      <c r="B17" s="60">
        <v>45574</v>
      </c>
      <c r="C17" s="246">
        <v>9500</v>
      </c>
      <c r="D17" s="83" t="s">
        <v>222</v>
      </c>
      <c r="E17" s="63"/>
      <c r="F17" s="63">
        <f t="shared" si="0"/>
        <v>75000</v>
      </c>
      <c r="G17" s="250">
        <f>344+1830.4</f>
        <v>2174.4</v>
      </c>
      <c r="H17" s="64">
        <f t="shared" si="1"/>
        <v>9148.08</v>
      </c>
      <c r="I17" s="64">
        <f t="shared" si="2"/>
        <v>65851.920000000013</v>
      </c>
    </row>
    <row r="18" spans="1:9" x14ac:dyDescent="0.2">
      <c r="A18" s="257" t="s">
        <v>268</v>
      </c>
      <c r="B18" s="60">
        <v>45603</v>
      </c>
      <c r="C18" s="246">
        <v>2507</v>
      </c>
      <c r="D18" s="83" t="s">
        <v>269</v>
      </c>
      <c r="E18" s="63"/>
      <c r="F18" s="63">
        <f t="shared" si="0"/>
        <v>75000</v>
      </c>
      <c r="G18" s="250">
        <f>358.11+729.95</f>
        <v>1088.06</v>
      </c>
      <c r="H18" s="64">
        <f t="shared" si="1"/>
        <v>10236.14</v>
      </c>
      <c r="I18" s="64">
        <f t="shared" si="2"/>
        <v>64763.860000000015</v>
      </c>
    </row>
    <row r="19" spans="1:9" x14ac:dyDescent="0.2">
      <c r="A19" s="257" t="s">
        <v>268</v>
      </c>
      <c r="B19" s="60">
        <v>45603</v>
      </c>
      <c r="C19" s="246">
        <v>9500</v>
      </c>
      <c r="D19" s="83" t="s">
        <v>270</v>
      </c>
      <c r="E19" s="63"/>
      <c r="F19" s="63">
        <f t="shared" si="0"/>
        <v>75000</v>
      </c>
      <c r="G19" s="250">
        <f>571.5+2057</f>
        <v>2628.5</v>
      </c>
      <c r="H19" s="64">
        <f t="shared" si="1"/>
        <v>12864.64</v>
      </c>
      <c r="I19" s="64">
        <f t="shared" si="2"/>
        <v>62135.360000000015</v>
      </c>
    </row>
    <row r="20" spans="1:9" x14ac:dyDescent="0.2">
      <c r="A20" s="257" t="s">
        <v>345</v>
      </c>
      <c r="B20" s="275">
        <v>45635</v>
      </c>
      <c r="C20" s="276">
        <v>2507</v>
      </c>
      <c r="D20" s="277" t="s">
        <v>346</v>
      </c>
      <c r="E20" s="63"/>
      <c r="F20" s="63">
        <f t="shared" si="0"/>
        <v>75000</v>
      </c>
      <c r="G20" s="250">
        <f>511.35+924.18</f>
        <v>1435.53</v>
      </c>
      <c r="H20" s="64">
        <f t="shared" si="1"/>
        <v>14300.17</v>
      </c>
      <c r="I20" s="64">
        <f t="shared" si="2"/>
        <v>60699.830000000016</v>
      </c>
    </row>
    <row r="21" spans="1:9" x14ac:dyDescent="0.2">
      <c r="A21" s="257" t="s">
        <v>345</v>
      </c>
      <c r="B21" s="275">
        <v>45635</v>
      </c>
      <c r="C21" s="276">
        <v>9500</v>
      </c>
      <c r="D21" s="278" t="s">
        <v>347</v>
      </c>
      <c r="E21" s="63"/>
      <c r="F21" s="63">
        <f t="shared" si="0"/>
        <v>75000</v>
      </c>
      <c r="G21" s="250">
        <f>382+8054.2</f>
        <v>8436.2000000000007</v>
      </c>
      <c r="H21" s="64">
        <f t="shared" si="1"/>
        <v>22736.370000000003</v>
      </c>
      <c r="I21" s="64">
        <f t="shared" si="2"/>
        <v>52263.630000000019</v>
      </c>
    </row>
    <row r="22" spans="1:9" x14ac:dyDescent="0.2">
      <c r="A22" s="257"/>
      <c r="B22" s="275"/>
      <c r="C22" s="276"/>
      <c r="D22" s="278"/>
      <c r="E22" s="63"/>
      <c r="F22" s="63">
        <f t="shared" si="0"/>
        <v>75000</v>
      </c>
      <c r="G22" s="67"/>
      <c r="H22" s="64">
        <f t="shared" si="1"/>
        <v>22736.370000000003</v>
      </c>
      <c r="I22" s="64">
        <f t="shared" si="2"/>
        <v>52263.630000000019</v>
      </c>
    </row>
    <row r="23" spans="1:9" x14ac:dyDescent="0.2">
      <c r="A23" s="257"/>
      <c r="B23" s="275"/>
      <c r="C23" s="276"/>
      <c r="D23" s="278"/>
      <c r="E23" s="63"/>
      <c r="F23" s="63">
        <f t="shared" si="0"/>
        <v>75000</v>
      </c>
      <c r="G23" s="67"/>
      <c r="H23" s="64">
        <f t="shared" si="1"/>
        <v>22736.370000000003</v>
      </c>
      <c r="I23" s="64">
        <f t="shared" si="2"/>
        <v>52263.630000000019</v>
      </c>
    </row>
    <row r="24" spans="1:9" x14ac:dyDescent="0.2">
      <c r="A24" s="257"/>
      <c r="B24" s="275"/>
      <c r="C24" s="276"/>
      <c r="D24" s="278"/>
      <c r="E24" s="63"/>
      <c r="F24" s="63">
        <f t="shared" si="0"/>
        <v>75000</v>
      </c>
      <c r="G24" s="67"/>
      <c r="H24" s="64">
        <f t="shared" si="1"/>
        <v>22736.370000000003</v>
      </c>
      <c r="I24" s="64">
        <f t="shared" si="2"/>
        <v>52263.630000000019</v>
      </c>
    </row>
    <row r="25" spans="1:9" x14ac:dyDescent="0.2">
      <c r="A25" s="257"/>
      <c r="B25" s="275"/>
      <c r="C25" s="276"/>
      <c r="D25" s="278"/>
      <c r="E25" s="63"/>
      <c r="F25" s="63">
        <f t="shared" si="0"/>
        <v>75000</v>
      </c>
      <c r="G25" s="67"/>
      <c r="H25" s="64">
        <f t="shared" si="1"/>
        <v>22736.370000000003</v>
      </c>
      <c r="I25" s="64">
        <f t="shared" si="2"/>
        <v>52263.630000000019</v>
      </c>
    </row>
    <row r="26" spans="1:9" x14ac:dyDescent="0.2">
      <c r="A26" s="257"/>
      <c r="B26" s="275"/>
      <c r="C26" s="276"/>
      <c r="D26" s="278"/>
      <c r="E26" s="63"/>
      <c r="F26" s="63">
        <f t="shared" si="0"/>
        <v>75000</v>
      </c>
      <c r="G26" s="67"/>
      <c r="H26" s="64">
        <f t="shared" si="1"/>
        <v>22736.370000000003</v>
      </c>
      <c r="I26" s="64">
        <f t="shared" si="2"/>
        <v>52263.630000000019</v>
      </c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ht="13.5" thickBot="1" x14ac:dyDescent="0.25">
      <c r="A28" s="73"/>
      <c r="B28" s="70"/>
      <c r="C28" s="70"/>
      <c r="D28" s="71" t="s">
        <v>28</v>
      </c>
      <c r="E28" s="72">
        <f>SUM(E9:E27)</f>
        <v>75000</v>
      </c>
      <c r="F28" s="72"/>
      <c r="G28" s="72">
        <f>SUM(G9:G27)</f>
        <v>22736.370000000003</v>
      </c>
      <c r="H28" s="72"/>
      <c r="I28" s="72">
        <f>E28-G28</f>
        <v>52263.63</v>
      </c>
    </row>
    <row r="29" spans="1:9" ht="13.5" thickTop="1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x14ac:dyDescent="0.2">
      <c r="A36" s="73"/>
      <c r="B36" s="61"/>
      <c r="C36" s="61"/>
      <c r="D36" s="69"/>
      <c r="E36" s="64"/>
      <c r="F36" s="64"/>
      <c r="G36" s="64"/>
      <c r="H36" s="64"/>
      <c r="I36" s="64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</sheetData>
  <pageMargins left="0.25" right="0.25" top="0.75" bottom="0.75" header="0.3" footer="0.3"/>
  <pageSetup scale="63" fitToHeight="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/>
  <dimension ref="A1:H24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101</v>
      </c>
      <c r="C1" s="3"/>
    </row>
    <row r="2" spans="1:8" ht="15.75" x14ac:dyDescent="0.25">
      <c r="B2" s="6" t="s">
        <v>124</v>
      </c>
    </row>
    <row r="3" spans="1:8" ht="15.75" x14ac:dyDescent="0.25">
      <c r="B3" s="7" t="s">
        <v>125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FINANCIAL!G16</f>
        <v>3000000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'#9354.00 Vendor A'!D23</f>
        <v>0</v>
      </c>
      <c r="E10" s="24">
        <f>'#9354.00 Vendor A'!F23</f>
        <v>0</v>
      </c>
      <c r="F10" s="24">
        <f>'#9354.00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'#9354.00 PM TIME'!E23</f>
        <v>0</v>
      </c>
      <c r="E11" s="24">
        <f>'#9354.00 PM TIME'!G23</f>
        <v>0</v>
      </c>
      <c r="F11" s="24">
        <f>'#9354.00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'#9354.00 Misc'!G22</f>
        <v>0</v>
      </c>
      <c r="E12" s="28">
        <f>'#9354.00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3000000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C14-D14</f>
        <v>3000000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6">
    <tabColor rgb="FF0070C0"/>
  </sheetPr>
  <dimension ref="A1:I627"/>
  <sheetViews>
    <sheetView zoomScaleNormal="100" workbookViewId="0">
      <selection activeCell="M23" sqref="M2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#9354.00'!B1</f>
        <v>DOC ASP LUC Plumbing Repairs Phase 2 &amp; 3</v>
      </c>
      <c r="B1" s="249"/>
      <c r="C1" s="4"/>
      <c r="D1" s="4"/>
      <c r="E1" s="4"/>
      <c r="F1" s="34"/>
      <c r="G1" s="34"/>
    </row>
    <row r="2" spans="1:9" s="35" customFormat="1" ht="15.75" x14ac:dyDescent="0.25">
      <c r="A2" s="6" t="str">
        <f>'RECAP #9354.00'!B2</f>
        <v>Project # 9354.00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#9354.00'!B3</f>
        <v>Program code 935400</v>
      </c>
      <c r="B3" s="5"/>
      <c r="C3" s="4"/>
      <c r="D3" s="8" t="str">
        <f>'RECAP #9354.00'!E3</f>
        <v>Major Program 4B01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#9354.00'!B6</f>
        <v>Project Manager - Jennie E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3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indexed="30"/>
  </sheetPr>
  <dimension ref="A1:J627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2.5703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#9354.00'!B1</f>
        <v>DOC ASP LUC Plumbing Repairs Phase 2 &amp; 3</v>
      </c>
      <c r="B1" s="249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#9354.00'!B2</f>
        <v>Project # 9354.00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#9354.00'!B3</f>
        <v>Program code 935400</v>
      </c>
      <c r="B3" s="5"/>
      <c r="C3" s="5"/>
      <c r="D3" s="4"/>
      <c r="E3" s="8" t="str">
        <f>'RECAP #9354.00'!E3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155</v>
      </c>
      <c r="F6" s="50"/>
      <c r="G6" s="51"/>
      <c r="H6" s="47"/>
      <c r="I6" s="42"/>
    </row>
    <row r="7" spans="1:10" s="35" customFormat="1" ht="15.75" x14ac:dyDescent="0.25">
      <c r="A7" s="13" t="str">
        <f>'RECAP #9354.00'!B6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257"/>
      <c r="B10" s="60"/>
      <c r="C10" s="24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257"/>
      <c r="B11" s="60"/>
      <c r="C11" s="246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8"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#9354.00'!B1</f>
        <v>DOC ASP LUC Plumbing Repairs Phase 2 &amp; 3</v>
      </c>
      <c r="B1" s="249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#9354.00'!B2</f>
        <v>Project # 9354.00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#9354.00'!B3</f>
        <v>Program code 935400</v>
      </c>
      <c r="E3" s="8" t="str">
        <f>'RECAP #9354.00'!E3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#9354.00'!B6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"/>
  <sheetViews>
    <sheetView zoomScaleNormal="100" workbookViewId="0">
      <selection activeCell="F14" sqref="F1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188</v>
      </c>
      <c r="C1" s="3"/>
    </row>
    <row r="2" spans="1:8" ht="15.75" x14ac:dyDescent="0.25">
      <c r="B2" s="6" t="s">
        <v>189</v>
      </c>
    </row>
    <row r="3" spans="1:8" ht="15.75" x14ac:dyDescent="0.25">
      <c r="B3" s="7" t="s">
        <v>190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191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FINANCIAL!G17</f>
        <v>378000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'#9371.00 Samuels Group'!D23</f>
        <v>51805.08</v>
      </c>
      <c r="E10" s="24">
        <f>'#9371.00 Samuels Group'!F23</f>
        <v>973.74</v>
      </c>
      <c r="F10" s="24">
        <f>'#9371.00 Samuels Group'!H23</f>
        <v>50831.340000000004</v>
      </c>
      <c r="G10" s="25"/>
      <c r="H10" s="17"/>
    </row>
    <row r="11" spans="1:8" x14ac:dyDescent="0.2">
      <c r="B11" s="5" t="s">
        <v>14</v>
      </c>
      <c r="C11" s="26"/>
      <c r="D11" s="24">
        <f>'#9371.00 PM TIME'!E23</f>
        <v>0</v>
      </c>
      <c r="E11" s="24">
        <f>'#9371.00 PM TIME'!G23</f>
        <v>0</v>
      </c>
      <c r="F11" s="24">
        <f>'#9371.00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'#9371.00 Misc'!G22</f>
        <v>0</v>
      </c>
      <c r="E12" s="28">
        <f>'#9371.00 Misc'!G22</f>
        <v>0</v>
      </c>
      <c r="F12" s="24">
        <f>D12-E12</f>
        <v>0</v>
      </c>
      <c r="G12" s="25"/>
      <c r="H12" s="17"/>
    </row>
    <row r="13" spans="1:8" x14ac:dyDescent="0.2">
      <c r="B13" s="5" t="s">
        <v>329</v>
      </c>
      <c r="C13" s="27"/>
      <c r="D13" s="28">
        <f>'#9371.00 MetroDriveway'!D23</f>
        <v>314800</v>
      </c>
      <c r="E13" s="28">
        <f>'#9371.00 MetroDriveway'!F23</f>
        <v>0</v>
      </c>
      <c r="F13" s="24">
        <f>'#9371.00 MetroDriveway'!H23</f>
        <v>314800</v>
      </c>
      <c r="G13" s="25"/>
      <c r="H13" s="17"/>
    </row>
    <row r="14" spans="1:8" s="17" customFormat="1" ht="12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378000</v>
      </c>
      <c r="D15" s="32">
        <f>SUM(D8:D14)</f>
        <v>366605.08</v>
      </c>
      <c r="E15" s="32">
        <f>SUM(E8:E14)</f>
        <v>973.74</v>
      </c>
      <c r="F15" s="32">
        <f>SUM(D15-E15)</f>
        <v>365631.34</v>
      </c>
      <c r="G15" s="32">
        <f>C15-D15</f>
        <v>11394.919999999984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27"/>
  <sheetViews>
    <sheetView zoomScaleNormal="100" workbookViewId="0">
      <selection activeCell="M27" sqref="M2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#9371.00'!B1</f>
        <v>DPS Post 3 Parking Lot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#9371.00'!B2</f>
        <v>Project # 9371.00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#9371.00'!B3</f>
        <v>Program code 937100</v>
      </c>
      <c r="B3" s="5"/>
      <c r="C3" s="4"/>
      <c r="D3" s="8" t="str">
        <f>'RECAP #9371.00'!E3</f>
        <v>Major Program 4G01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#9371.00'!B6</f>
        <v>Project Manager - Jennie E.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318</v>
      </c>
      <c r="B9" s="60">
        <v>45618</v>
      </c>
      <c r="C9" s="61" t="s">
        <v>167</v>
      </c>
      <c r="D9" s="247">
        <v>51805.08</v>
      </c>
      <c r="E9" s="63">
        <f>D9</f>
        <v>51805.08</v>
      </c>
      <c r="F9" s="64"/>
      <c r="G9" s="64"/>
      <c r="H9" s="64">
        <f>E9</f>
        <v>51805.08</v>
      </c>
    </row>
    <row r="10" spans="1:9" x14ac:dyDescent="0.2">
      <c r="A10" s="59" t="s">
        <v>335</v>
      </c>
      <c r="B10" s="66">
        <v>45632</v>
      </c>
      <c r="C10" s="61" t="s">
        <v>336</v>
      </c>
      <c r="D10" s="63"/>
      <c r="E10" s="63">
        <f t="shared" ref="E10:E21" si="0">E9+D10</f>
        <v>51805.08</v>
      </c>
      <c r="F10" s="250">
        <v>973.74</v>
      </c>
      <c r="G10" s="64">
        <f t="shared" ref="G10:G21" si="1">G9+F10</f>
        <v>973.74</v>
      </c>
      <c r="H10" s="64">
        <f t="shared" ref="H10:H21" si="2">H9-F10+D10</f>
        <v>50831.340000000004</v>
      </c>
    </row>
    <row r="11" spans="1:9" x14ac:dyDescent="0.2">
      <c r="A11" s="59"/>
      <c r="B11" s="60"/>
      <c r="C11" s="61"/>
      <c r="D11" s="63"/>
      <c r="E11" s="63">
        <f t="shared" si="0"/>
        <v>51805.08</v>
      </c>
      <c r="F11" s="67"/>
      <c r="G11" s="64">
        <f t="shared" si="1"/>
        <v>973.74</v>
      </c>
      <c r="H11" s="64">
        <f t="shared" si="2"/>
        <v>50831.340000000004</v>
      </c>
    </row>
    <row r="12" spans="1:9" x14ac:dyDescent="0.2">
      <c r="A12" s="59"/>
      <c r="B12" s="60"/>
      <c r="C12" s="61"/>
      <c r="D12" s="63"/>
      <c r="E12" s="63">
        <f t="shared" si="0"/>
        <v>51805.08</v>
      </c>
      <c r="F12" s="67"/>
      <c r="G12" s="64">
        <f t="shared" si="1"/>
        <v>973.74</v>
      </c>
      <c r="H12" s="64">
        <f t="shared" si="2"/>
        <v>50831.340000000004</v>
      </c>
    </row>
    <row r="13" spans="1:9" x14ac:dyDescent="0.2">
      <c r="A13" s="59"/>
      <c r="B13" s="60"/>
      <c r="C13" s="61"/>
      <c r="D13" s="63"/>
      <c r="E13" s="63">
        <f t="shared" si="0"/>
        <v>51805.08</v>
      </c>
      <c r="F13" s="67"/>
      <c r="G13" s="64">
        <f t="shared" si="1"/>
        <v>973.74</v>
      </c>
      <c r="H13" s="64">
        <f t="shared" si="2"/>
        <v>50831.340000000004</v>
      </c>
    </row>
    <row r="14" spans="1:9" x14ac:dyDescent="0.2">
      <c r="A14" s="59"/>
      <c r="B14" s="60"/>
      <c r="C14" s="61"/>
      <c r="D14" s="63"/>
      <c r="E14" s="63">
        <f t="shared" si="0"/>
        <v>51805.08</v>
      </c>
      <c r="F14" s="64"/>
      <c r="G14" s="64">
        <f t="shared" si="1"/>
        <v>973.74</v>
      </c>
      <c r="H14" s="64">
        <f t="shared" si="2"/>
        <v>50831.340000000004</v>
      </c>
    </row>
    <row r="15" spans="1:9" x14ac:dyDescent="0.2">
      <c r="A15" s="59"/>
      <c r="B15" s="60"/>
      <c r="C15" s="61"/>
      <c r="D15" s="63"/>
      <c r="E15" s="63">
        <f t="shared" si="0"/>
        <v>51805.08</v>
      </c>
      <c r="F15" s="67"/>
      <c r="G15" s="64">
        <f t="shared" si="1"/>
        <v>973.74</v>
      </c>
      <c r="H15" s="64">
        <f t="shared" si="2"/>
        <v>50831.340000000004</v>
      </c>
    </row>
    <row r="16" spans="1:9" x14ac:dyDescent="0.2">
      <c r="A16" s="59"/>
      <c r="B16" s="60"/>
      <c r="C16" s="61"/>
      <c r="D16" s="63"/>
      <c r="E16" s="63">
        <f t="shared" si="0"/>
        <v>51805.08</v>
      </c>
      <c r="F16" s="67"/>
      <c r="G16" s="64">
        <f t="shared" si="1"/>
        <v>973.74</v>
      </c>
      <c r="H16" s="64">
        <f t="shared" si="2"/>
        <v>50831.340000000004</v>
      </c>
    </row>
    <row r="17" spans="1:8" x14ac:dyDescent="0.2">
      <c r="A17" s="59"/>
      <c r="B17" s="60"/>
      <c r="C17" s="61"/>
      <c r="D17" s="63"/>
      <c r="E17" s="63">
        <f t="shared" si="0"/>
        <v>51805.08</v>
      </c>
      <c r="F17" s="67"/>
      <c r="G17" s="64">
        <f t="shared" si="1"/>
        <v>973.74</v>
      </c>
      <c r="H17" s="64">
        <f t="shared" si="2"/>
        <v>50831.340000000004</v>
      </c>
    </row>
    <row r="18" spans="1:8" x14ac:dyDescent="0.2">
      <c r="A18" s="59"/>
      <c r="B18" s="60"/>
      <c r="C18" s="61"/>
      <c r="D18" s="63"/>
      <c r="E18" s="63">
        <f t="shared" si="0"/>
        <v>51805.08</v>
      </c>
      <c r="F18" s="67"/>
      <c r="G18" s="64">
        <f t="shared" si="1"/>
        <v>973.74</v>
      </c>
      <c r="H18" s="64">
        <f t="shared" si="2"/>
        <v>50831.340000000004</v>
      </c>
    </row>
    <row r="19" spans="1:8" x14ac:dyDescent="0.2">
      <c r="A19" s="59"/>
      <c r="B19" s="60"/>
      <c r="C19" s="61"/>
      <c r="D19" s="63"/>
      <c r="E19" s="63">
        <f t="shared" si="0"/>
        <v>51805.08</v>
      </c>
      <c r="F19" s="64"/>
      <c r="G19" s="64">
        <f t="shared" si="1"/>
        <v>973.74</v>
      </c>
      <c r="H19" s="64">
        <f t="shared" si="2"/>
        <v>50831.340000000004</v>
      </c>
    </row>
    <row r="20" spans="1:8" x14ac:dyDescent="0.2">
      <c r="A20" s="59"/>
      <c r="B20" s="60"/>
      <c r="C20" s="61"/>
      <c r="D20" s="63"/>
      <c r="E20" s="63">
        <f t="shared" si="0"/>
        <v>51805.08</v>
      </c>
      <c r="F20" s="64"/>
      <c r="G20" s="64">
        <f t="shared" si="1"/>
        <v>973.74</v>
      </c>
      <c r="H20" s="64">
        <f t="shared" si="2"/>
        <v>50831.340000000004</v>
      </c>
    </row>
    <row r="21" spans="1:8" x14ac:dyDescent="0.2">
      <c r="A21" s="59"/>
      <c r="B21" s="60"/>
      <c r="C21" s="68"/>
      <c r="D21" s="63"/>
      <c r="E21" s="63">
        <f t="shared" si="0"/>
        <v>51805.08</v>
      </c>
      <c r="F21" s="64"/>
      <c r="G21" s="64">
        <f t="shared" si="1"/>
        <v>973.74</v>
      </c>
      <c r="H21" s="64">
        <f t="shared" si="2"/>
        <v>50831.340000000004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51805.08</v>
      </c>
      <c r="E23" s="72"/>
      <c r="F23" s="72">
        <f>SUM(F9:F22)</f>
        <v>973.74</v>
      </c>
      <c r="G23" s="72"/>
      <c r="H23" s="72">
        <f>D23-F23</f>
        <v>50831.340000000004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48805.08</v>
      </c>
      <c r="E26" s="252"/>
      <c r="F26" s="252">
        <v>973.74</v>
      </c>
      <c r="G26" s="252"/>
      <c r="H26" s="252">
        <f>D26-F26</f>
        <v>47831.340000000004</v>
      </c>
    </row>
    <row r="27" spans="1:8" x14ac:dyDescent="0.2">
      <c r="A27" s="73"/>
      <c r="B27" s="61"/>
      <c r="C27" s="251" t="s">
        <v>173</v>
      </c>
      <c r="D27" s="252">
        <v>3000</v>
      </c>
      <c r="E27" s="252"/>
      <c r="F27" s="252"/>
      <c r="G27" s="252"/>
      <c r="H27" s="252">
        <f>D27-F27</f>
        <v>3000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51805.08</v>
      </c>
      <c r="E28" s="255"/>
      <c r="F28" s="254">
        <f>SUM(F26:F27)</f>
        <v>973.74</v>
      </c>
      <c r="G28" s="255"/>
      <c r="H28" s="254">
        <f>SUM(H26:H27)</f>
        <v>50831.340000000004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2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0"/>
  </sheetPr>
  <dimension ref="A1:J627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#9371.00'!B1</f>
        <v>DPS Post 3 Parking Lot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#9371.00'!B2</f>
        <v>Project # 9371.00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#9371.00'!B3</f>
        <v>Program code 937100</v>
      </c>
      <c r="B3" s="5"/>
      <c r="C3" s="5"/>
      <c r="D3" s="4"/>
      <c r="E3" s="8" t="str">
        <f>'RECAP #9371.00'!E3</f>
        <v>Major Program 4G01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193</v>
      </c>
      <c r="F6" s="50"/>
      <c r="G6" s="51"/>
      <c r="H6" s="47"/>
      <c r="I6" s="42"/>
    </row>
    <row r="7" spans="1:10" s="35" customFormat="1" ht="15.75" x14ac:dyDescent="0.25">
      <c r="A7" s="13" t="str">
        <f>'RECAP #9371.00'!B6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#9371.00'!B1</f>
        <v>DPS Post 3 Parking Lot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#9371.00'!B2</f>
        <v>Project # 9371.00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#9371.00'!B3</f>
        <v>Program code 937100</v>
      </c>
      <c r="E3" s="8" t="str">
        <f>'RECAP #9371.00'!E3</f>
        <v>Major Program 4G01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#9371.00'!B6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#9371.00'!B1</f>
        <v>DPS Post 3 Parking Lot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#9371.00'!B2</f>
        <v>Project # 9371.00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#9371.00'!B3</f>
        <v>Program code 937100</v>
      </c>
      <c r="B3" s="5"/>
      <c r="C3" s="4"/>
      <c r="D3" s="8" t="str">
        <f>'RECAP #9371.00'!E3</f>
        <v>Major Program 4G01</v>
      </c>
      <c r="E3" s="4"/>
      <c r="F3" s="34"/>
      <c r="G3" s="34"/>
    </row>
    <row r="4" spans="1:9" s="35" customFormat="1" ht="15.75" x14ac:dyDescent="0.25">
      <c r="A4" s="36" t="s">
        <v>329</v>
      </c>
      <c r="B4" s="37"/>
      <c r="C4" s="38"/>
      <c r="D4" s="39" t="s">
        <v>330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331</v>
      </c>
      <c r="E5" s="45"/>
      <c r="F5" s="46"/>
      <c r="G5" s="47"/>
      <c r="H5" s="42"/>
    </row>
    <row r="6" spans="1:9" s="35" customFormat="1" ht="15.75" x14ac:dyDescent="0.25">
      <c r="A6" s="13" t="str">
        <f>'RECAP #9371.00'!B6</f>
        <v>Project Manager - Jennie E.</v>
      </c>
      <c r="B6" s="11"/>
      <c r="C6" s="48"/>
      <c r="D6" s="49" t="s">
        <v>332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333</v>
      </c>
      <c r="B9" s="60">
        <v>45630</v>
      </c>
      <c r="C9" s="61" t="s">
        <v>167</v>
      </c>
      <c r="D9" s="247">
        <v>314800</v>
      </c>
      <c r="E9" s="63">
        <f>D9</f>
        <v>314800</v>
      </c>
      <c r="F9" s="64"/>
      <c r="G9" s="64"/>
      <c r="H9" s="64">
        <f>E9</f>
        <v>314800</v>
      </c>
    </row>
    <row r="10" spans="1:9" x14ac:dyDescent="0.2">
      <c r="A10" s="59"/>
      <c r="B10" s="66"/>
      <c r="C10" s="61"/>
      <c r="D10" s="63"/>
      <c r="E10" s="63">
        <f t="shared" ref="E10:E21" si="0">E9+D10</f>
        <v>314800</v>
      </c>
      <c r="F10" s="67"/>
      <c r="G10" s="64">
        <f t="shared" ref="G10:G21" si="1">G9+F10</f>
        <v>0</v>
      </c>
      <c r="H10" s="64">
        <f t="shared" ref="H10:H21" si="2">H9-F10+D10</f>
        <v>314800</v>
      </c>
    </row>
    <row r="11" spans="1:9" x14ac:dyDescent="0.2">
      <c r="A11" s="59"/>
      <c r="B11" s="60"/>
      <c r="C11" s="61"/>
      <c r="D11" s="63"/>
      <c r="E11" s="63">
        <f t="shared" si="0"/>
        <v>314800</v>
      </c>
      <c r="F11" s="67"/>
      <c r="G11" s="64">
        <f t="shared" si="1"/>
        <v>0</v>
      </c>
      <c r="H11" s="64">
        <f t="shared" si="2"/>
        <v>314800</v>
      </c>
    </row>
    <row r="12" spans="1:9" x14ac:dyDescent="0.2">
      <c r="A12" s="59"/>
      <c r="B12" s="60"/>
      <c r="C12" s="61"/>
      <c r="D12" s="63"/>
      <c r="E12" s="63">
        <f t="shared" si="0"/>
        <v>314800</v>
      </c>
      <c r="F12" s="67"/>
      <c r="G12" s="64">
        <f t="shared" si="1"/>
        <v>0</v>
      </c>
      <c r="H12" s="64">
        <f t="shared" si="2"/>
        <v>314800</v>
      </c>
    </row>
    <row r="13" spans="1:9" x14ac:dyDescent="0.2">
      <c r="A13" s="59"/>
      <c r="B13" s="60"/>
      <c r="C13" s="61"/>
      <c r="D13" s="63"/>
      <c r="E13" s="63">
        <f t="shared" si="0"/>
        <v>314800</v>
      </c>
      <c r="F13" s="67"/>
      <c r="G13" s="64">
        <f t="shared" si="1"/>
        <v>0</v>
      </c>
      <c r="H13" s="64">
        <f t="shared" si="2"/>
        <v>314800</v>
      </c>
    </row>
    <row r="14" spans="1:9" x14ac:dyDescent="0.2">
      <c r="A14" s="59"/>
      <c r="B14" s="60"/>
      <c r="C14" s="61"/>
      <c r="D14" s="63"/>
      <c r="E14" s="63">
        <f t="shared" si="0"/>
        <v>314800</v>
      </c>
      <c r="F14" s="64"/>
      <c r="G14" s="64">
        <f t="shared" si="1"/>
        <v>0</v>
      </c>
      <c r="H14" s="64">
        <f t="shared" si="2"/>
        <v>314800</v>
      </c>
    </row>
    <row r="15" spans="1:9" x14ac:dyDescent="0.2">
      <c r="A15" s="59"/>
      <c r="B15" s="60"/>
      <c r="C15" s="61"/>
      <c r="D15" s="63"/>
      <c r="E15" s="63">
        <f t="shared" si="0"/>
        <v>314800</v>
      </c>
      <c r="F15" s="67"/>
      <c r="G15" s="64">
        <f t="shared" si="1"/>
        <v>0</v>
      </c>
      <c r="H15" s="64">
        <f t="shared" si="2"/>
        <v>314800</v>
      </c>
    </row>
    <row r="16" spans="1:9" x14ac:dyDescent="0.2">
      <c r="A16" s="59"/>
      <c r="B16" s="60"/>
      <c r="C16" s="61"/>
      <c r="D16" s="63"/>
      <c r="E16" s="63">
        <f t="shared" si="0"/>
        <v>314800</v>
      </c>
      <c r="F16" s="67"/>
      <c r="G16" s="64">
        <f t="shared" si="1"/>
        <v>0</v>
      </c>
      <c r="H16" s="64">
        <f t="shared" si="2"/>
        <v>314800</v>
      </c>
    </row>
    <row r="17" spans="1:8" x14ac:dyDescent="0.2">
      <c r="A17" s="59"/>
      <c r="B17" s="60"/>
      <c r="C17" s="61"/>
      <c r="D17" s="63"/>
      <c r="E17" s="63">
        <f t="shared" si="0"/>
        <v>314800</v>
      </c>
      <c r="F17" s="67"/>
      <c r="G17" s="64">
        <f t="shared" si="1"/>
        <v>0</v>
      </c>
      <c r="H17" s="64">
        <f t="shared" si="2"/>
        <v>314800</v>
      </c>
    </row>
    <row r="18" spans="1:8" x14ac:dyDescent="0.2">
      <c r="A18" s="59"/>
      <c r="B18" s="60"/>
      <c r="C18" s="61"/>
      <c r="D18" s="63"/>
      <c r="E18" s="63">
        <f t="shared" si="0"/>
        <v>314800</v>
      </c>
      <c r="F18" s="67"/>
      <c r="G18" s="64">
        <f t="shared" si="1"/>
        <v>0</v>
      </c>
      <c r="H18" s="64">
        <f t="shared" si="2"/>
        <v>314800</v>
      </c>
    </row>
    <row r="19" spans="1:8" x14ac:dyDescent="0.2">
      <c r="A19" s="59"/>
      <c r="B19" s="60"/>
      <c r="C19" s="61"/>
      <c r="D19" s="63"/>
      <c r="E19" s="63">
        <f t="shared" si="0"/>
        <v>314800</v>
      </c>
      <c r="F19" s="64"/>
      <c r="G19" s="64">
        <f t="shared" si="1"/>
        <v>0</v>
      </c>
      <c r="H19" s="64">
        <f t="shared" si="2"/>
        <v>314800</v>
      </c>
    </row>
    <row r="20" spans="1:8" x14ac:dyDescent="0.2">
      <c r="A20" s="59"/>
      <c r="B20" s="60"/>
      <c r="C20" s="61"/>
      <c r="D20" s="63"/>
      <c r="E20" s="63">
        <f t="shared" si="0"/>
        <v>314800</v>
      </c>
      <c r="F20" s="64"/>
      <c r="G20" s="64">
        <f t="shared" si="1"/>
        <v>0</v>
      </c>
      <c r="H20" s="64">
        <f t="shared" si="2"/>
        <v>314800</v>
      </c>
    </row>
    <row r="21" spans="1:8" x14ac:dyDescent="0.2">
      <c r="A21" s="59"/>
      <c r="B21" s="60"/>
      <c r="C21" s="68"/>
      <c r="D21" s="63"/>
      <c r="E21" s="63">
        <f t="shared" si="0"/>
        <v>314800</v>
      </c>
      <c r="F21" s="64"/>
      <c r="G21" s="64">
        <f t="shared" si="1"/>
        <v>0</v>
      </c>
      <c r="H21" s="64">
        <f t="shared" si="2"/>
        <v>314800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314800</v>
      </c>
      <c r="E23" s="72"/>
      <c r="F23" s="72">
        <f>SUM(F9:F22)</f>
        <v>0</v>
      </c>
      <c r="G23" s="72"/>
      <c r="H23" s="72">
        <f>D23-F23</f>
        <v>314800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9"/>
      <c r="D26" s="270"/>
      <c r="E26" s="270"/>
      <c r="F26" s="270"/>
      <c r="G26" s="270"/>
      <c r="H26" s="270"/>
    </row>
    <row r="27" spans="1:8" x14ac:dyDescent="0.2">
      <c r="A27" s="73"/>
      <c r="B27" s="61"/>
      <c r="C27" s="269"/>
      <c r="D27" s="270"/>
      <c r="E27" s="270"/>
      <c r="F27" s="270"/>
      <c r="G27" s="270"/>
      <c r="H27" s="270"/>
    </row>
    <row r="28" spans="1:8" x14ac:dyDescent="0.2">
      <c r="A28" s="73"/>
      <c r="B28" s="61"/>
      <c r="C28" s="271"/>
      <c r="D28" s="272"/>
      <c r="E28" s="272"/>
      <c r="F28" s="272"/>
      <c r="G28" s="272"/>
      <c r="H28" s="272"/>
    </row>
    <row r="29" spans="1:8" x14ac:dyDescent="0.2">
      <c r="A29" s="73"/>
      <c r="B29" s="61"/>
      <c r="C29" s="273"/>
      <c r="D29" s="274"/>
      <c r="E29" s="274"/>
      <c r="F29" s="274"/>
      <c r="G29" s="274"/>
      <c r="H29" s="274"/>
    </row>
    <row r="30" spans="1:8" x14ac:dyDescent="0.2">
      <c r="A30" s="73"/>
      <c r="B30" s="61"/>
      <c r="C30" s="273"/>
      <c r="D30" s="274"/>
      <c r="E30" s="274"/>
      <c r="F30" s="274"/>
      <c r="G30" s="274"/>
      <c r="H30" s="27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1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4"/>
  <sheetViews>
    <sheetView zoomScaleNormal="100" workbookViewId="0">
      <selection activeCell="F28" sqref="F2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90</v>
      </c>
      <c r="C1" s="3"/>
    </row>
    <row r="2" spans="1:8" ht="15.75" x14ac:dyDescent="0.25">
      <c r="B2" s="6" t="s">
        <v>92</v>
      </c>
    </row>
    <row r="3" spans="1:8" ht="15.75" x14ac:dyDescent="0.25">
      <c r="B3" s="7" t="s">
        <v>93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FINANCIAL!G18</f>
        <v>3000000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'#9422.00 McGough Construction'!D23</f>
        <v>17289.86</v>
      </c>
      <c r="E10" s="24">
        <f>'#9422.00 McGough Construction'!F23</f>
        <v>0</v>
      </c>
      <c r="F10" s="24">
        <f>'#9422.00 McGough Construction'!H23</f>
        <v>17289.86</v>
      </c>
      <c r="G10" s="25"/>
      <c r="H10" s="17"/>
    </row>
    <row r="11" spans="1:8" x14ac:dyDescent="0.2">
      <c r="B11" s="5" t="s">
        <v>14</v>
      </c>
      <c r="C11" s="26"/>
      <c r="D11" s="24">
        <f>'#9422.00 PM TIME '!E23</f>
        <v>5000</v>
      </c>
      <c r="E11" s="24">
        <f>'#9422.00 PM TIME '!G23</f>
        <v>1740.7600000000002</v>
      </c>
      <c r="F11" s="24">
        <f>'#9422.00 PM TIME '!I23</f>
        <v>3259.24</v>
      </c>
      <c r="G11" s="25"/>
      <c r="H11" s="17"/>
    </row>
    <row r="12" spans="1:8" x14ac:dyDescent="0.2">
      <c r="B12" s="5" t="s">
        <v>15</v>
      </c>
      <c r="C12" s="27"/>
      <c r="D12" s="28">
        <f>'#9422.00 Misc'!G22</f>
        <v>0</v>
      </c>
      <c r="E12" s="28">
        <f>'#9422.00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3000000</v>
      </c>
      <c r="D14" s="32">
        <f>SUM(D8:D13)</f>
        <v>22289.86</v>
      </c>
      <c r="E14" s="32">
        <f>SUM(E8:E13)</f>
        <v>1740.7600000000002</v>
      </c>
      <c r="F14" s="32">
        <f>SUM(D14-E14)</f>
        <v>20549.099999999999</v>
      </c>
      <c r="G14" s="32">
        <f>C14-D14</f>
        <v>2977710.14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#9422.00'!B1</f>
        <v>DOC ASP Tuckpointing Priorities 7, 8, &amp; 9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#9422.00'!B2</f>
        <v>Project # 9422.00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#9422.00'!B3</f>
        <v>Program code 942200</v>
      </c>
      <c r="B3" s="5"/>
      <c r="C3" s="4"/>
      <c r="D3" s="8" t="str">
        <f>'RECAP #9422.00'!E3</f>
        <v>Major Program 4E01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#9422.00'!B6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307</v>
      </c>
      <c r="B9" s="60">
        <v>45611</v>
      </c>
      <c r="C9" s="61" t="s">
        <v>167</v>
      </c>
      <c r="D9" s="247">
        <v>17289.86</v>
      </c>
      <c r="E9" s="63">
        <f>D9</f>
        <v>17289.86</v>
      </c>
      <c r="F9" s="64"/>
      <c r="G9" s="64"/>
      <c r="H9" s="64">
        <f>E9</f>
        <v>17289.86</v>
      </c>
    </row>
    <row r="10" spans="1:9" x14ac:dyDescent="0.2">
      <c r="A10" s="59"/>
      <c r="B10" s="66"/>
      <c r="C10" s="61"/>
      <c r="D10" s="63"/>
      <c r="E10" s="63">
        <f t="shared" ref="E10:E21" si="0">E9+D10</f>
        <v>17289.86</v>
      </c>
      <c r="F10" s="67"/>
      <c r="G10" s="64">
        <f t="shared" ref="G10:G21" si="1">G9+F10</f>
        <v>0</v>
      </c>
      <c r="H10" s="64">
        <f t="shared" ref="H10:H21" si="2">H9-F10+D10</f>
        <v>17289.86</v>
      </c>
    </row>
    <row r="11" spans="1:9" x14ac:dyDescent="0.2">
      <c r="A11" s="59"/>
      <c r="B11" s="60"/>
      <c r="C11" s="61"/>
      <c r="D11" s="63"/>
      <c r="E11" s="63">
        <f t="shared" si="0"/>
        <v>17289.86</v>
      </c>
      <c r="F11" s="67"/>
      <c r="G11" s="64">
        <f t="shared" si="1"/>
        <v>0</v>
      </c>
      <c r="H11" s="64">
        <f t="shared" si="2"/>
        <v>17289.86</v>
      </c>
    </row>
    <row r="12" spans="1:9" x14ac:dyDescent="0.2">
      <c r="A12" s="59"/>
      <c r="B12" s="60"/>
      <c r="C12" s="61"/>
      <c r="D12" s="63"/>
      <c r="E12" s="63">
        <f t="shared" si="0"/>
        <v>17289.86</v>
      </c>
      <c r="F12" s="67"/>
      <c r="G12" s="64">
        <f t="shared" si="1"/>
        <v>0</v>
      </c>
      <c r="H12" s="64">
        <f t="shared" si="2"/>
        <v>17289.86</v>
      </c>
    </row>
    <row r="13" spans="1:9" x14ac:dyDescent="0.2">
      <c r="A13" s="59"/>
      <c r="B13" s="60"/>
      <c r="C13" s="61"/>
      <c r="D13" s="63"/>
      <c r="E13" s="63">
        <f t="shared" si="0"/>
        <v>17289.86</v>
      </c>
      <c r="F13" s="67"/>
      <c r="G13" s="64">
        <f t="shared" si="1"/>
        <v>0</v>
      </c>
      <c r="H13" s="64">
        <f t="shared" si="2"/>
        <v>17289.86</v>
      </c>
    </row>
    <row r="14" spans="1:9" x14ac:dyDescent="0.2">
      <c r="A14" s="59"/>
      <c r="B14" s="60"/>
      <c r="C14" s="61"/>
      <c r="D14" s="63"/>
      <c r="E14" s="63">
        <f t="shared" si="0"/>
        <v>17289.86</v>
      </c>
      <c r="F14" s="64"/>
      <c r="G14" s="64">
        <f t="shared" si="1"/>
        <v>0</v>
      </c>
      <c r="H14" s="64">
        <f t="shared" si="2"/>
        <v>17289.86</v>
      </c>
    </row>
    <row r="15" spans="1:9" x14ac:dyDescent="0.2">
      <c r="A15" s="59"/>
      <c r="B15" s="60"/>
      <c r="C15" s="61"/>
      <c r="D15" s="63"/>
      <c r="E15" s="63">
        <f t="shared" si="0"/>
        <v>17289.86</v>
      </c>
      <c r="F15" s="67"/>
      <c r="G15" s="64">
        <f t="shared" si="1"/>
        <v>0</v>
      </c>
      <c r="H15" s="64">
        <f t="shared" si="2"/>
        <v>17289.86</v>
      </c>
    </row>
    <row r="16" spans="1:9" x14ac:dyDescent="0.2">
      <c r="A16" s="59"/>
      <c r="B16" s="60"/>
      <c r="C16" s="61"/>
      <c r="D16" s="63"/>
      <c r="E16" s="63">
        <f t="shared" si="0"/>
        <v>17289.86</v>
      </c>
      <c r="F16" s="67"/>
      <c r="G16" s="64">
        <f t="shared" si="1"/>
        <v>0</v>
      </c>
      <c r="H16" s="64">
        <f t="shared" si="2"/>
        <v>17289.86</v>
      </c>
    </row>
    <row r="17" spans="1:8" x14ac:dyDescent="0.2">
      <c r="A17" s="59"/>
      <c r="B17" s="60"/>
      <c r="C17" s="61"/>
      <c r="D17" s="63"/>
      <c r="E17" s="63">
        <f t="shared" si="0"/>
        <v>17289.86</v>
      </c>
      <c r="F17" s="67"/>
      <c r="G17" s="64">
        <f t="shared" si="1"/>
        <v>0</v>
      </c>
      <c r="H17" s="64">
        <f t="shared" si="2"/>
        <v>17289.86</v>
      </c>
    </row>
    <row r="18" spans="1:8" x14ac:dyDescent="0.2">
      <c r="A18" s="59"/>
      <c r="B18" s="60"/>
      <c r="C18" s="61"/>
      <c r="D18" s="63"/>
      <c r="E18" s="63">
        <f t="shared" si="0"/>
        <v>17289.86</v>
      </c>
      <c r="F18" s="67"/>
      <c r="G18" s="64">
        <f t="shared" si="1"/>
        <v>0</v>
      </c>
      <c r="H18" s="64">
        <f t="shared" si="2"/>
        <v>17289.86</v>
      </c>
    </row>
    <row r="19" spans="1:8" x14ac:dyDescent="0.2">
      <c r="A19" s="59"/>
      <c r="B19" s="60"/>
      <c r="C19" s="61"/>
      <c r="D19" s="63"/>
      <c r="E19" s="63">
        <f t="shared" si="0"/>
        <v>17289.86</v>
      </c>
      <c r="F19" s="64"/>
      <c r="G19" s="64">
        <f t="shared" si="1"/>
        <v>0</v>
      </c>
      <c r="H19" s="64">
        <f t="shared" si="2"/>
        <v>17289.86</v>
      </c>
    </row>
    <row r="20" spans="1:8" x14ac:dyDescent="0.2">
      <c r="A20" s="59"/>
      <c r="B20" s="60"/>
      <c r="C20" s="61"/>
      <c r="D20" s="63"/>
      <c r="E20" s="63">
        <f t="shared" si="0"/>
        <v>17289.86</v>
      </c>
      <c r="F20" s="64"/>
      <c r="G20" s="64">
        <f t="shared" si="1"/>
        <v>0</v>
      </c>
      <c r="H20" s="64">
        <f t="shared" si="2"/>
        <v>17289.86</v>
      </c>
    </row>
    <row r="21" spans="1:8" x14ac:dyDescent="0.2">
      <c r="A21" s="59"/>
      <c r="B21" s="60"/>
      <c r="C21" s="68"/>
      <c r="D21" s="63"/>
      <c r="E21" s="63">
        <f t="shared" si="0"/>
        <v>17289.86</v>
      </c>
      <c r="F21" s="64"/>
      <c r="G21" s="64">
        <f t="shared" si="1"/>
        <v>0</v>
      </c>
      <c r="H21" s="64">
        <f t="shared" si="2"/>
        <v>17289.86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17289.86</v>
      </c>
      <c r="E23" s="72"/>
      <c r="F23" s="72">
        <f>SUM(F9:F22)</f>
        <v>0</v>
      </c>
      <c r="G23" s="72"/>
      <c r="H23" s="72">
        <f>D23-F23</f>
        <v>17289.86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16359.86</v>
      </c>
      <c r="E26" s="252"/>
      <c r="F26" s="252"/>
      <c r="G26" s="252"/>
      <c r="H26" s="252">
        <f>D26-F26</f>
        <v>16359.86</v>
      </c>
    </row>
    <row r="27" spans="1:8" x14ac:dyDescent="0.2">
      <c r="A27" s="73"/>
      <c r="B27" s="61"/>
      <c r="C27" s="251" t="s">
        <v>173</v>
      </c>
      <c r="D27" s="252">
        <v>930</v>
      </c>
      <c r="E27" s="252"/>
      <c r="F27" s="252"/>
      <c r="G27" s="252"/>
      <c r="H27" s="252">
        <f>D27-F27</f>
        <v>930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17289.86</v>
      </c>
      <c r="E28" s="255"/>
      <c r="F28" s="254">
        <f>SUM(F26:F27)</f>
        <v>0</v>
      </c>
      <c r="G28" s="255"/>
      <c r="H28" s="254">
        <f>SUM(H26:H27)</f>
        <v>17289.86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0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27"/>
  <sheetViews>
    <sheetView zoomScaleNormal="100" workbookViewId="0">
      <selection activeCell="G16" sqref="G1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#9422.00'!B1</f>
        <v>DOC ASP Tuckpointing Priorities 7, 8, &amp; 9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#9422.00'!B2</f>
        <v>Project # 9422.00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#9422.00'!B3</f>
        <v>Program code 942200</v>
      </c>
      <c r="B3" s="5"/>
      <c r="C3" s="5"/>
      <c r="D3" s="4"/>
      <c r="E3" s="8" t="str">
        <f>'RECAP #9422.00'!E3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96</v>
      </c>
      <c r="F6" s="50"/>
      <c r="G6" s="51"/>
      <c r="H6" s="47"/>
      <c r="I6" s="42"/>
    </row>
    <row r="7" spans="1:10" s="35" customFormat="1" ht="15.75" x14ac:dyDescent="0.25">
      <c r="A7" s="13" t="str">
        <f>'RECAP #9422.00'!B6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61" t="s">
        <v>12</v>
      </c>
      <c r="E9" s="247">
        <v>5000</v>
      </c>
      <c r="F9" s="63">
        <f>E9</f>
        <v>5000</v>
      </c>
      <c r="G9" s="64"/>
      <c r="H9" s="64"/>
      <c r="I9" s="64">
        <f>F9</f>
        <v>5000</v>
      </c>
    </row>
    <row r="10" spans="1:10" x14ac:dyDescent="0.2">
      <c r="A10" s="257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1" si="0">F9+E10</f>
        <v>5000</v>
      </c>
      <c r="G10" s="258">
        <f>94.82+39.97</f>
        <v>134.79</v>
      </c>
      <c r="H10" s="64">
        <f t="shared" ref="H10:H21" si="1">H9+G10</f>
        <v>134.79</v>
      </c>
      <c r="I10" s="64">
        <f t="shared" ref="I10:I21" si="2">I9-G10+E10</f>
        <v>4865.21</v>
      </c>
    </row>
    <row r="11" spans="1:10" x14ac:dyDescent="0.2">
      <c r="A11" s="257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5000</v>
      </c>
      <c r="G11" s="258">
        <f>49.5+636.9</f>
        <v>686.4</v>
      </c>
      <c r="H11" s="64">
        <f t="shared" si="1"/>
        <v>821.18999999999994</v>
      </c>
      <c r="I11" s="64">
        <f t="shared" si="2"/>
        <v>4178.8100000000004</v>
      </c>
    </row>
    <row r="12" spans="1:10" x14ac:dyDescent="0.2">
      <c r="A12" s="257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5000</v>
      </c>
      <c r="G12" s="258">
        <f>41.48+14.73</f>
        <v>56.209999999999994</v>
      </c>
      <c r="H12" s="64">
        <f t="shared" si="1"/>
        <v>877.4</v>
      </c>
      <c r="I12" s="64">
        <f t="shared" si="2"/>
        <v>4122.6000000000004</v>
      </c>
    </row>
    <row r="13" spans="1:10" x14ac:dyDescent="0.2">
      <c r="A13" s="257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5000</v>
      </c>
      <c r="G13" s="258">
        <f>32.5+470.8</f>
        <v>503.3</v>
      </c>
      <c r="H13" s="64">
        <f t="shared" si="1"/>
        <v>1380.7</v>
      </c>
      <c r="I13" s="64">
        <f t="shared" si="2"/>
        <v>3619.3</v>
      </c>
    </row>
    <row r="14" spans="1:10" x14ac:dyDescent="0.2">
      <c r="A14" s="257" t="s">
        <v>268</v>
      </c>
      <c r="B14" s="60">
        <v>45603</v>
      </c>
      <c r="C14" s="246">
        <v>9500</v>
      </c>
      <c r="D14" s="83" t="s">
        <v>270</v>
      </c>
      <c r="E14" s="63"/>
      <c r="F14" s="63">
        <f t="shared" si="0"/>
        <v>5000</v>
      </c>
      <c r="G14" s="258">
        <v>2</v>
      </c>
      <c r="H14" s="64">
        <f t="shared" si="1"/>
        <v>1382.7</v>
      </c>
      <c r="I14" s="64">
        <f t="shared" si="2"/>
        <v>3617.3</v>
      </c>
    </row>
    <row r="15" spans="1:10" x14ac:dyDescent="0.2">
      <c r="A15" s="257" t="s">
        <v>345</v>
      </c>
      <c r="B15" s="275">
        <v>45635</v>
      </c>
      <c r="C15" s="276">
        <v>2507</v>
      </c>
      <c r="D15" s="277" t="s">
        <v>346</v>
      </c>
      <c r="E15" s="63"/>
      <c r="F15" s="63">
        <f t="shared" si="0"/>
        <v>5000</v>
      </c>
      <c r="G15" s="258">
        <f>16.51+30.15</f>
        <v>46.66</v>
      </c>
      <c r="H15" s="64">
        <f t="shared" si="1"/>
        <v>1429.3600000000001</v>
      </c>
      <c r="I15" s="64">
        <f t="shared" si="2"/>
        <v>3570.6400000000003</v>
      </c>
    </row>
    <row r="16" spans="1:10" x14ac:dyDescent="0.2">
      <c r="A16" s="257" t="s">
        <v>345</v>
      </c>
      <c r="B16" s="275">
        <v>45635</v>
      </c>
      <c r="C16" s="276">
        <v>9500</v>
      </c>
      <c r="D16" s="278" t="s">
        <v>347</v>
      </c>
      <c r="E16" s="63"/>
      <c r="F16" s="63">
        <f t="shared" si="0"/>
        <v>5000</v>
      </c>
      <c r="G16" s="258">
        <f>21+290.4</f>
        <v>311.39999999999998</v>
      </c>
      <c r="H16" s="64">
        <f t="shared" si="1"/>
        <v>1740.7600000000002</v>
      </c>
      <c r="I16" s="64">
        <f t="shared" si="2"/>
        <v>3259.2400000000002</v>
      </c>
    </row>
    <row r="17" spans="1:9" x14ac:dyDescent="0.2">
      <c r="A17" s="85"/>
      <c r="B17" s="60"/>
      <c r="C17" s="60"/>
      <c r="D17" s="83"/>
      <c r="E17" s="63"/>
      <c r="F17" s="63">
        <f t="shared" si="0"/>
        <v>5000</v>
      </c>
      <c r="G17" s="67"/>
      <c r="H17" s="64">
        <f t="shared" si="1"/>
        <v>1740.7600000000002</v>
      </c>
      <c r="I17" s="64">
        <f t="shared" si="2"/>
        <v>3259.2400000000002</v>
      </c>
    </row>
    <row r="18" spans="1:9" x14ac:dyDescent="0.2">
      <c r="A18" s="85"/>
      <c r="B18" s="60"/>
      <c r="C18" s="60"/>
      <c r="D18" s="83"/>
      <c r="E18" s="63"/>
      <c r="F18" s="63">
        <f t="shared" si="0"/>
        <v>5000</v>
      </c>
      <c r="G18" s="67"/>
      <c r="H18" s="64">
        <f t="shared" si="1"/>
        <v>1740.7600000000002</v>
      </c>
      <c r="I18" s="64">
        <f t="shared" si="2"/>
        <v>3259.2400000000002</v>
      </c>
    </row>
    <row r="19" spans="1:9" x14ac:dyDescent="0.2">
      <c r="A19" s="82"/>
      <c r="B19" s="60"/>
      <c r="C19" s="60"/>
      <c r="D19" s="83"/>
      <c r="E19" s="63"/>
      <c r="F19" s="63">
        <f t="shared" si="0"/>
        <v>5000</v>
      </c>
      <c r="G19" s="64"/>
      <c r="H19" s="64">
        <f t="shared" si="1"/>
        <v>1740.7600000000002</v>
      </c>
      <c r="I19" s="64">
        <f t="shared" si="2"/>
        <v>3259.2400000000002</v>
      </c>
    </row>
    <row r="20" spans="1:9" x14ac:dyDescent="0.2">
      <c r="A20" s="82"/>
      <c r="B20" s="60"/>
      <c r="C20" s="60"/>
      <c r="D20" s="83"/>
      <c r="E20" s="63"/>
      <c r="F20" s="63">
        <f t="shared" si="0"/>
        <v>5000</v>
      </c>
      <c r="G20" s="64"/>
      <c r="H20" s="64">
        <f t="shared" si="1"/>
        <v>1740.7600000000002</v>
      </c>
      <c r="I20" s="64">
        <f t="shared" si="2"/>
        <v>3259.2400000000002</v>
      </c>
    </row>
    <row r="21" spans="1:9" x14ac:dyDescent="0.2">
      <c r="A21" s="82"/>
      <c r="B21" s="60"/>
      <c r="C21" s="60"/>
      <c r="D21" s="86"/>
      <c r="E21" s="63"/>
      <c r="F21" s="63">
        <f t="shared" si="0"/>
        <v>5000</v>
      </c>
      <c r="G21" s="64"/>
      <c r="H21" s="64">
        <f t="shared" si="1"/>
        <v>1740.7600000000002</v>
      </c>
      <c r="I21" s="64">
        <f t="shared" si="2"/>
        <v>3259.2400000000002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5000</v>
      </c>
      <c r="F23" s="72"/>
      <c r="G23" s="72">
        <f>SUM(G9:G22)</f>
        <v>1740.7600000000002</v>
      </c>
      <c r="H23" s="72"/>
      <c r="I23" s="72">
        <f>E23-G23</f>
        <v>3259.24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#9422.00'!B1</f>
        <v>DOC ASP Tuckpointing Priorities 7, 8, &amp; 9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#9422.00'!B2</f>
        <v>Project # 9422.00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#9422.00'!B3</f>
        <v>Program code 942200</v>
      </c>
      <c r="E3" s="8" t="str">
        <f>'RECAP #9422.00'!E3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#9422.00'!B6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4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233</v>
      </c>
      <c r="C1" s="3"/>
    </row>
    <row r="2" spans="1:8" ht="15.75" x14ac:dyDescent="0.25">
      <c r="B2" s="6" t="s">
        <v>241</v>
      </c>
    </row>
    <row r="3" spans="1:8" ht="15.75" x14ac:dyDescent="0.25">
      <c r="B3" s="7" t="s">
        <v>242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FINANCIAL!G19</f>
        <v>800000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348</v>
      </c>
      <c r="C10" s="26"/>
      <c r="D10" s="24">
        <f>'#9442.00 McGough Construction'!D23</f>
        <v>17451.650000000001</v>
      </c>
      <c r="E10" s="24">
        <f>'#9442.00 McGough Construction'!F23</f>
        <v>0</v>
      </c>
      <c r="F10" s="24">
        <f>'#9442.00 McGough Construction'!H23</f>
        <v>17451.650000000001</v>
      </c>
      <c r="G10" s="25"/>
      <c r="H10" s="17"/>
    </row>
    <row r="11" spans="1:8" x14ac:dyDescent="0.2">
      <c r="B11" s="5" t="s">
        <v>14</v>
      </c>
      <c r="C11" s="26"/>
      <c r="D11" s="24">
        <f>'#9442.00 PM TIME'!E23</f>
        <v>10000</v>
      </c>
      <c r="E11" s="24">
        <f>'#9442.00 PM TIME'!G23</f>
        <v>787.44</v>
      </c>
      <c r="F11" s="24">
        <f>'#9442.00 PM TIME'!I23</f>
        <v>9212.56</v>
      </c>
      <c r="G11" s="25"/>
      <c r="H11" s="17"/>
    </row>
    <row r="12" spans="1:8" x14ac:dyDescent="0.2">
      <c r="B12" s="5" t="s">
        <v>15</v>
      </c>
      <c r="C12" s="27"/>
      <c r="D12" s="28">
        <f>'#9442.00 Misc'!G22</f>
        <v>0</v>
      </c>
      <c r="E12" s="28">
        <f>'#9442.00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800000</v>
      </c>
      <c r="D14" s="32">
        <f>SUM(D8:D13)</f>
        <v>27451.65</v>
      </c>
      <c r="E14" s="32">
        <f>SUM(E8:E13)</f>
        <v>787.44</v>
      </c>
      <c r="F14" s="32">
        <f>SUM(D14-E14)</f>
        <v>26664.210000000003</v>
      </c>
      <c r="G14" s="32">
        <f>C14-D14</f>
        <v>772548.35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27"/>
  <sheetViews>
    <sheetView zoomScaleNormal="100" workbookViewId="0">
      <selection activeCell="L35" sqref="L3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#9442.00'!B1</f>
        <v>DOC MPCF SouthCore &amp; East/West Staircase Tuckpointing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#9442.00'!B2</f>
        <v>Project # 9442.00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#9442.00'!B3</f>
        <v>Program code 944200</v>
      </c>
      <c r="B3" s="5"/>
      <c r="C3" s="4"/>
      <c r="D3" s="8" t="str">
        <f>'RECAP #9442.00'!E3</f>
        <v>Major Program 4E01</v>
      </c>
      <c r="E3" s="4"/>
      <c r="F3" s="34"/>
      <c r="G3" s="34"/>
    </row>
    <row r="4" spans="1:9" s="35" customFormat="1" ht="15.75" x14ac:dyDescent="0.25">
      <c r="A4" s="36" t="s">
        <v>348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#9442.00'!B6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349</v>
      </c>
      <c r="B9" s="60">
        <v>45638</v>
      </c>
      <c r="C9" s="61" t="s">
        <v>167</v>
      </c>
      <c r="D9" s="247">
        <v>17451.650000000001</v>
      </c>
      <c r="E9" s="63">
        <f>D9</f>
        <v>17451.650000000001</v>
      </c>
      <c r="F9" s="64"/>
      <c r="G9" s="64"/>
      <c r="H9" s="64">
        <f>E9</f>
        <v>17451.650000000001</v>
      </c>
    </row>
    <row r="10" spans="1:9" x14ac:dyDescent="0.2">
      <c r="A10" s="59"/>
      <c r="B10" s="66"/>
      <c r="C10" s="61"/>
      <c r="D10" s="63"/>
      <c r="E10" s="63">
        <f t="shared" ref="E10:E21" si="0">E9+D10</f>
        <v>17451.650000000001</v>
      </c>
      <c r="F10" s="67"/>
      <c r="G10" s="64">
        <f t="shared" ref="G10:G21" si="1">G9+F10</f>
        <v>0</v>
      </c>
      <c r="H10" s="64">
        <f t="shared" ref="H10:H21" si="2">H9-F10+D10</f>
        <v>17451.650000000001</v>
      </c>
    </row>
    <row r="11" spans="1:9" x14ac:dyDescent="0.2">
      <c r="A11" s="59"/>
      <c r="B11" s="60"/>
      <c r="C11" s="61"/>
      <c r="D11" s="63"/>
      <c r="E11" s="63">
        <f t="shared" si="0"/>
        <v>17451.650000000001</v>
      </c>
      <c r="F11" s="67"/>
      <c r="G11" s="64">
        <f t="shared" si="1"/>
        <v>0</v>
      </c>
      <c r="H11" s="64">
        <f t="shared" si="2"/>
        <v>17451.650000000001</v>
      </c>
    </row>
    <row r="12" spans="1:9" x14ac:dyDescent="0.2">
      <c r="A12" s="59"/>
      <c r="B12" s="60"/>
      <c r="C12" s="61"/>
      <c r="D12" s="63"/>
      <c r="E12" s="63">
        <f t="shared" si="0"/>
        <v>17451.650000000001</v>
      </c>
      <c r="F12" s="67"/>
      <c r="G12" s="64">
        <f t="shared" si="1"/>
        <v>0</v>
      </c>
      <c r="H12" s="64">
        <f t="shared" si="2"/>
        <v>17451.650000000001</v>
      </c>
    </row>
    <row r="13" spans="1:9" x14ac:dyDescent="0.2">
      <c r="A13" s="59"/>
      <c r="B13" s="60"/>
      <c r="C13" s="61"/>
      <c r="D13" s="63"/>
      <c r="E13" s="63">
        <f t="shared" si="0"/>
        <v>17451.650000000001</v>
      </c>
      <c r="F13" s="67"/>
      <c r="G13" s="64">
        <f t="shared" si="1"/>
        <v>0</v>
      </c>
      <c r="H13" s="64">
        <f t="shared" si="2"/>
        <v>17451.650000000001</v>
      </c>
    </row>
    <row r="14" spans="1:9" x14ac:dyDescent="0.2">
      <c r="A14" s="59"/>
      <c r="B14" s="60"/>
      <c r="C14" s="61"/>
      <c r="D14" s="63"/>
      <c r="E14" s="63">
        <f t="shared" si="0"/>
        <v>17451.650000000001</v>
      </c>
      <c r="F14" s="64"/>
      <c r="G14" s="64">
        <f t="shared" si="1"/>
        <v>0</v>
      </c>
      <c r="H14" s="64">
        <f t="shared" si="2"/>
        <v>17451.650000000001</v>
      </c>
    </row>
    <row r="15" spans="1:9" x14ac:dyDescent="0.2">
      <c r="A15" s="59"/>
      <c r="B15" s="60"/>
      <c r="C15" s="61"/>
      <c r="D15" s="63"/>
      <c r="E15" s="63">
        <f t="shared" si="0"/>
        <v>17451.650000000001</v>
      </c>
      <c r="F15" s="67"/>
      <c r="G15" s="64">
        <f t="shared" si="1"/>
        <v>0</v>
      </c>
      <c r="H15" s="64">
        <f t="shared" si="2"/>
        <v>17451.650000000001</v>
      </c>
    </row>
    <row r="16" spans="1:9" x14ac:dyDescent="0.2">
      <c r="A16" s="59"/>
      <c r="B16" s="60"/>
      <c r="C16" s="61"/>
      <c r="D16" s="63"/>
      <c r="E16" s="63">
        <f t="shared" si="0"/>
        <v>17451.650000000001</v>
      </c>
      <c r="F16" s="67"/>
      <c r="G16" s="64">
        <f t="shared" si="1"/>
        <v>0</v>
      </c>
      <c r="H16" s="64">
        <f t="shared" si="2"/>
        <v>17451.650000000001</v>
      </c>
    </row>
    <row r="17" spans="1:8" x14ac:dyDescent="0.2">
      <c r="A17" s="59"/>
      <c r="B17" s="60"/>
      <c r="C17" s="61"/>
      <c r="D17" s="63"/>
      <c r="E17" s="63">
        <f t="shared" si="0"/>
        <v>17451.650000000001</v>
      </c>
      <c r="F17" s="67"/>
      <c r="G17" s="64">
        <f t="shared" si="1"/>
        <v>0</v>
      </c>
      <c r="H17" s="64">
        <f t="shared" si="2"/>
        <v>17451.650000000001</v>
      </c>
    </row>
    <row r="18" spans="1:8" x14ac:dyDescent="0.2">
      <c r="A18" s="59"/>
      <c r="B18" s="60"/>
      <c r="C18" s="61"/>
      <c r="D18" s="63"/>
      <c r="E18" s="63">
        <f t="shared" si="0"/>
        <v>17451.650000000001</v>
      </c>
      <c r="F18" s="67"/>
      <c r="G18" s="64">
        <f t="shared" si="1"/>
        <v>0</v>
      </c>
      <c r="H18" s="64">
        <f t="shared" si="2"/>
        <v>17451.650000000001</v>
      </c>
    </row>
    <row r="19" spans="1:8" x14ac:dyDescent="0.2">
      <c r="A19" s="59"/>
      <c r="B19" s="60"/>
      <c r="C19" s="61"/>
      <c r="D19" s="63"/>
      <c r="E19" s="63">
        <f t="shared" si="0"/>
        <v>17451.650000000001</v>
      </c>
      <c r="F19" s="64"/>
      <c r="G19" s="64">
        <f t="shared" si="1"/>
        <v>0</v>
      </c>
      <c r="H19" s="64">
        <f t="shared" si="2"/>
        <v>17451.650000000001</v>
      </c>
    </row>
    <row r="20" spans="1:8" x14ac:dyDescent="0.2">
      <c r="A20" s="59"/>
      <c r="B20" s="60"/>
      <c r="C20" s="61"/>
      <c r="D20" s="63"/>
      <c r="E20" s="63">
        <f t="shared" si="0"/>
        <v>17451.650000000001</v>
      </c>
      <c r="F20" s="64"/>
      <c r="G20" s="64">
        <f t="shared" si="1"/>
        <v>0</v>
      </c>
      <c r="H20" s="64">
        <f t="shared" si="2"/>
        <v>17451.650000000001</v>
      </c>
    </row>
    <row r="21" spans="1:8" x14ac:dyDescent="0.2">
      <c r="A21" s="59"/>
      <c r="B21" s="60"/>
      <c r="C21" s="68"/>
      <c r="D21" s="63"/>
      <c r="E21" s="63">
        <f t="shared" si="0"/>
        <v>17451.650000000001</v>
      </c>
      <c r="F21" s="64"/>
      <c r="G21" s="64">
        <f t="shared" si="1"/>
        <v>0</v>
      </c>
      <c r="H21" s="64">
        <f t="shared" si="2"/>
        <v>17451.650000000001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17451.650000000001</v>
      </c>
      <c r="E23" s="72"/>
      <c r="F23" s="72">
        <f>SUM(F9:F22)</f>
        <v>0</v>
      </c>
      <c r="G23" s="72"/>
      <c r="H23" s="72">
        <f>D23-F23</f>
        <v>17451.650000000001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16751.650000000001</v>
      </c>
      <c r="E26" s="252"/>
      <c r="F26" s="252"/>
      <c r="G26" s="252"/>
      <c r="H26" s="252">
        <f>D26-F26</f>
        <v>16751.650000000001</v>
      </c>
    </row>
    <row r="27" spans="1:8" x14ac:dyDescent="0.2">
      <c r="A27" s="73"/>
      <c r="B27" s="61"/>
      <c r="C27" s="251" t="s">
        <v>173</v>
      </c>
      <c r="D27" s="252">
        <v>700</v>
      </c>
      <c r="E27" s="252"/>
      <c r="F27" s="252"/>
      <c r="G27" s="252"/>
      <c r="H27" s="252">
        <f>D27-F27</f>
        <v>700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17451.650000000001</v>
      </c>
      <c r="E28" s="255"/>
      <c r="F28" s="254">
        <f>SUM(F26:F27)</f>
        <v>0</v>
      </c>
      <c r="G28" s="255"/>
      <c r="H28" s="254">
        <f>SUM(H26:H27)</f>
        <v>17451.650000000001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9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27"/>
  <sheetViews>
    <sheetView zoomScaleNormal="100" workbookViewId="0">
      <selection activeCell="G11" sqref="G1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#9442.00'!B1</f>
        <v>DOC MPCF SouthCore &amp; East/West Staircase Tuckpointing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#9442.00'!B2</f>
        <v>Project # 9442.00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#9442.00'!B3</f>
        <v>Program code 944200</v>
      </c>
      <c r="B3" s="5"/>
      <c r="C3" s="5"/>
      <c r="D3" s="4"/>
      <c r="E3" s="8" t="str">
        <f>'RECAP #9442.00'!E3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273</v>
      </c>
      <c r="F6" s="50"/>
      <c r="G6" s="51"/>
      <c r="H6" s="47"/>
      <c r="I6" s="42"/>
    </row>
    <row r="7" spans="1:10" s="35" customFormat="1" ht="15.75" x14ac:dyDescent="0.25">
      <c r="A7" s="13" t="str">
        <f>'RECAP #9442.00'!B6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10000</v>
      </c>
      <c r="F9" s="63">
        <f>E9</f>
        <v>10000</v>
      </c>
      <c r="G9" s="64"/>
      <c r="H9" s="64"/>
      <c r="I9" s="64">
        <f>F9</f>
        <v>10000</v>
      </c>
    </row>
    <row r="10" spans="1:10" x14ac:dyDescent="0.2">
      <c r="A10" s="257" t="s">
        <v>345</v>
      </c>
      <c r="B10" s="275">
        <v>45635</v>
      </c>
      <c r="C10" s="276">
        <v>2507</v>
      </c>
      <c r="D10" s="277" t="s">
        <v>346</v>
      </c>
      <c r="E10" s="63"/>
      <c r="F10" s="63">
        <f t="shared" ref="F10:F21" si="0">F9+E10</f>
        <v>10000</v>
      </c>
      <c r="G10" s="258">
        <f>36.83+66.61</f>
        <v>103.44</v>
      </c>
      <c r="H10" s="64">
        <f t="shared" ref="H10:H21" si="1">H9+G10</f>
        <v>103.44</v>
      </c>
      <c r="I10" s="64">
        <f t="shared" ref="I10:I21" si="2">I9-G10+E10</f>
        <v>9896.56</v>
      </c>
    </row>
    <row r="11" spans="1:10" x14ac:dyDescent="0.2">
      <c r="A11" s="257" t="s">
        <v>345</v>
      </c>
      <c r="B11" s="275">
        <v>45635</v>
      </c>
      <c r="C11" s="276">
        <v>9500</v>
      </c>
      <c r="D11" s="278" t="s">
        <v>347</v>
      </c>
      <c r="E11" s="63"/>
      <c r="F11" s="63">
        <f t="shared" si="0"/>
        <v>10000</v>
      </c>
      <c r="G11" s="258">
        <f>46+638</f>
        <v>684</v>
      </c>
      <c r="H11" s="64">
        <f t="shared" si="1"/>
        <v>787.44</v>
      </c>
      <c r="I11" s="64">
        <f t="shared" si="2"/>
        <v>9212.56</v>
      </c>
    </row>
    <row r="12" spans="1:10" x14ac:dyDescent="0.2">
      <c r="A12" s="85"/>
      <c r="B12" s="60"/>
      <c r="C12" s="60"/>
      <c r="D12" s="83"/>
      <c r="E12" s="63"/>
      <c r="F12" s="63">
        <f t="shared" si="0"/>
        <v>10000</v>
      </c>
      <c r="G12" s="67"/>
      <c r="H12" s="64">
        <f t="shared" si="1"/>
        <v>787.44</v>
      </c>
      <c r="I12" s="64">
        <f t="shared" si="2"/>
        <v>9212.56</v>
      </c>
    </row>
    <row r="13" spans="1:10" x14ac:dyDescent="0.2">
      <c r="A13" s="85"/>
      <c r="B13" s="60"/>
      <c r="C13" s="60"/>
      <c r="D13" s="83"/>
      <c r="E13" s="63"/>
      <c r="F13" s="63">
        <f t="shared" si="0"/>
        <v>10000</v>
      </c>
      <c r="G13" s="67"/>
      <c r="H13" s="64">
        <f t="shared" si="1"/>
        <v>787.44</v>
      </c>
      <c r="I13" s="64">
        <f t="shared" si="2"/>
        <v>9212.56</v>
      </c>
    </row>
    <row r="14" spans="1:10" x14ac:dyDescent="0.2">
      <c r="A14" s="85"/>
      <c r="B14" s="60"/>
      <c r="C14" s="60"/>
      <c r="D14" s="83"/>
      <c r="E14" s="63"/>
      <c r="F14" s="63">
        <f t="shared" si="0"/>
        <v>10000</v>
      </c>
      <c r="G14" s="64"/>
      <c r="H14" s="64">
        <f t="shared" si="1"/>
        <v>787.44</v>
      </c>
      <c r="I14" s="64">
        <f t="shared" si="2"/>
        <v>9212.56</v>
      </c>
    </row>
    <row r="15" spans="1:10" x14ac:dyDescent="0.2">
      <c r="A15" s="85"/>
      <c r="B15" s="60"/>
      <c r="C15" s="60"/>
      <c r="D15" s="83"/>
      <c r="E15" s="63"/>
      <c r="F15" s="63">
        <f t="shared" si="0"/>
        <v>10000</v>
      </c>
      <c r="G15" s="67"/>
      <c r="H15" s="64">
        <f t="shared" si="1"/>
        <v>787.44</v>
      </c>
      <c r="I15" s="64">
        <f t="shared" si="2"/>
        <v>9212.56</v>
      </c>
    </row>
    <row r="16" spans="1:10" x14ac:dyDescent="0.2">
      <c r="A16" s="85"/>
      <c r="B16" s="60"/>
      <c r="C16" s="60"/>
      <c r="D16" s="83"/>
      <c r="E16" s="63"/>
      <c r="F16" s="63">
        <f t="shared" si="0"/>
        <v>10000</v>
      </c>
      <c r="G16" s="67"/>
      <c r="H16" s="64">
        <f t="shared" si="1"/>
        <v>787.44</v>
      </c>
      <c r="I16" s="64">
        <f t="shared" si="2"/>
        <v>9212.56</v>
      </c>
    </row>
    <row r="17" spans="1:9" x14ac:dyDescent="0.2">
      <c r="A17" s="85"/>
      <c r="B17" s="60"/>
      <c r="C17" s="60"/>
      <c r="D17" s="83"/>
      <c r="E17" s="63"/>
      <c r="F17" s="63">
        <f t="shared" si="0"/>
        <v>10000</v>
      </c>
      <c r="G17" s="67"/>
      <c r="H17" s="64">
        <f t="shared" si="1"/>
        <v>787.44</v>
      </c>
      <c r="I17" s="64">
        <f t="shared" si="2"/>
        <v>9212.56</v>
      </c>
    </row>
    <row r="18" spans="1:9" x14ac:dyDescent="0.2">
      <c r="A18" s="85"/>
      <c r="B18" s="60"/>
      <c r="C18" s="60"/>
      <c r="D18" s="83"/>
      <c r="E18" s="63"/>
      <c r="F18" s="63">
        <f t="shared" si="0"/>
        <v>10000</v>
      </c>
      <c r="G18" s="67"/>
      <c r="H18" s="64">
        <f t="shared" si="1"/>
        <v>787.44</v>
      </c>
      <c r="I18" s="64">
        <f t="shared" si="2"/>
        <v>9212.56</v>
      </c>
    </row>
    <row r="19" spans="1:9" x14ac:dyDescent="0.2">
      <c r="A19" s="82"/>
      <c r="B19" s="60"/>
      <c r="C19" s="60"/>
      <c r="D19" s="83"/>
      <c r="E19" s="63"/>
      <c r="F19" s="63">
        <f t="shared" si="0"/>
        <v>10000</v>
      </c>
      <c r="G19" s="64"/>
      <c r="H19" s="64">
        <f t="shared" si="1"/>
        <v>787.44</v>
      </c>
      <c r="I19" s="64">
        <f t="shared" si="2"/>
        <v>9212.56</v>
      </c>
    </row>
    <row r="20" spans="1:9" x14ac:dyDescent="0.2">
      <c r="A20" s="82"/>
      <c r="B20" s="60"/>
      <c r="C20" s="60"/>
      <c r="D20" s="83"/>
      <c r="E20" s="63"/>
      <c r="F20" s="63">
        <f t="shared" si="0"/>
        <v>10000</v>
      </c>
      <c r="G20" s="64"/>
      <c r="H20" s="64">
        <f t="shared" si="1"/>
        <v>787.44</v>
      </c>
      <c r="I20" s="64">
        <f t="shared" si="2"/>
        <v>9212.56</v>
      </c>
    </row>
    <row r="21" spans="1:9" x14ac:dyDescent="0.2">
      <c r="A21" s="82"/>
      <c r="B21" s="60"/>
      <c r="C21" s="60"/>
      <c r="D21" s="86"/>
      <c r="E21" s="63"/>
      <c r="F21" s="63">
        <f t="shared" si="0"/>
        <v>10000</v>
      </c>
      <c r="G21" s="64"/>
      <c r="H21" s="64">
        <f t="shared" si="1"/>
        <v>787.44</v>
      </c>
      <c r="I21" s="64">
        <f t="shared" si="2"/>
        <v>9212.56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10000</v>
      </c>
      <c r="F23" s="72"/>
      <c r="G23" s="72">
        <f>SUM(G9:G22)</f>
        <v>787.44</v>
      </c>
      <c r="H23" s="72"/>
      <c r="I23" s="72">
        <f>E23-G23</f>
        <v>9212.56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#9442.00'!B1</f>
        <v>DOC MPCF SouthCore &amp; East/West Staircase Tuckpointing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#9442.00'!B2</f>
        <v>Project # 9442.00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#9442.00'!B3</f>
        <v>Program code 944200</v>
      </c>
      <c r="E3" s="8" t="str">
        <f>'RECAP #9442.00'!E3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350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#9442.00'!B6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4"/>
  <sheetViews>
    <sheetView zoomScaleNormal="100" workbookViewId="0">
      <selection activeCell="K16" sqref="K1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369</v>
      </c>
      <c r="C1" s="3"/>
    </row>
    <row r="2" spans="1:8" ht="15.75" x14ac:dyDescent="0.25">
      <c r="B2" s="6" t="s">
        <v>243</v>
      </c>
    </row>
    <row r="3" spans="1:8" ht="15.75" x14ac:dyDescent="0.25">
      <c r="B3" s="7" t="s">
        <v>244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FINANCIAL!G20</f>
        <v>2000000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'#9443.00 McGough Construction'!D23</f>
        <v>16341.2</v>
      </c>
      <c r="E10" s="24">
        <f>'#9443.00 McGough Construction'!F23</f>
        <v>0</v>
      </c>
      <c r="F10" s="24">
        <f>'#9443.00 McGough Construction'!H23</f>
        <v>16341.2</v>
      </c>
      <c r="G10" s="25"/>
      <c r="H10" s="17"/>
    </row>
    <row r="11" spans="1:8" x14ac:dyDescent="0.2">
      <c r="B11" s="5" t="s">
        <v>14</v>
      </c>
      <c r="C11" s="26"/>
      <c r="D11" s="24">
        <f>'#9443.00 PM TIME'!E23</f>
        <v>25000</v>
      </c>
      <c r="E11" s="24">
        <f>'#9443.00 PM TIME'!G23</f>
        <v>501.35</v>
      </c>
      <c r="F11" s="24">
        <f>'#9443.00 PM TIME'!I23</f>
        <v>24498.65</v>
      </c>
      <c r="G11" s="25"/>
      <c r="H11" s="17"/>
    </row>
    <row r="12" spans="1:8" x14ac:dyDescent="0.2">
      <c r="B12" s="5" t="s">
        <v>15</v>
      </c>
      <c r="C12" s="27"/>
      <c r="D12" s="28">
        <f>'#9443.00 Misc'!G22</f>
        <v>0</v>
      </c>
      <c r="E12" s="28">
        <f>'#9443.00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2000000</v>
      </c>
      <c r="D14" s="32">
        <f>SUM(D8:D13)</f>
        <v>41341.199999999997</v>
      </c>
      <c r="E14" s="32">
        <f>SUM(E8:E13)</f>
        <v>501.35</v>
      </c>
      <c r="F14" s="32">
        <f>SUM(D14-E14)</f>
        <v>40839.85</v>
      </c>
      <c r="G14" s="32">
        <f>C14-D14</f>
        <v>1958658.8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627"/>
  <sheetViews>
    <sheetView zoomScaleNormal="100" workbookViewId="0">
      <selection activeCell="E34" sqref="E3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#9443.00'!B2</f>
        <v>Project # 9443.00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#9443.00'!B3</f>
        <v>Program code 944300</v>
      </c>
      <c r="B3" s="5"/>
      <c r="C3" s="4"/>
      <c r="D3" s="8" t="str">
        <f>'RECAP #9443.00'!E3</f>
        <v>Major Program 4E01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#9443.00'!B6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351</v>
      </c>
      <c r="B9" s="60">
        <v>45638</v>
      </c>
      <c r="C9" s="61" t="s">
        <v>167</v>
      </c>
      <c r="D9" s="247">
        <v>16341.2</v>
      </c>
      <c r="E9" s="63">
        <f>D9</f>
        <v>16341.2</v>
      </c>
      <c r="F9" s="64"/>
      <c r="G9" s="64"/>
      <c r="H9" s="64">
        <f>E9</f>
        <v>16341.2</v>
      </c>
    </row>
    <row r="10" spans="1:9" x14ac:dyDescent="0.2">
      <c r="A10" s="59"/>
      <c r="B10" s="66"/>
      <c r="C10" s="61"/>
      <c r="D10" s="63"/>
      <c r="E10" s="63">
        <f t="shared" ref="E10:E21" si="0">E9+D10</f>
        <v>16341.2</v>
      </c>
      <c r="F10" s="67"/>
      <c r="G10" s="64">
        <f t="shared" ref="G10:G21" si="1">G9+F10</f>
        <v>0</v>
      </c>
      <c r="H10" s="64">
        <f t="shared" ref="H10:H21" si="2">H9-F10+D10</f>
        <v>16341.2</v>
      </c>
    </row>
    <row r="11" spans="1:9" x14ac:dyDescent="0.2">
      <c r="A11" s="59"/>
      <c r="B11" s="60"/>
      <c r="C11" s="61"/>
      <c r="D11" s="63"/>
      <c r="E11" s="63">
        <f t="shared" si="0"/>
        <v>16341.2</v>
      </c>
      <c r="F11" s="67"/>
      <c r="G11" s="64">
        <f t="shared" si="1"/>
        <v>0</v>
      </c>
      <c r="H11" s="64">
        <f t="shared" si="2"/>
        <v>16341.2</v>
      </c>
    </row>
    <row r="12" spans="1:9" x14ac:dyDescent="0.2">
      <c r="A12" s="59"/>
      <c r="B12" s="60"/>
      <c r="C12" s="61"/>
      <c r="D12" s="63"/>
      <c r="E12" s="63">
        <f t="shared" si="0"/>
        <v>16341.2</v>
      </c>
      <c r="F12" s="67"/>
      <c r="G12" s="64">
        <f t="shared" si="1"/>
        <v>0</v>
      </c>
      <c r="H12" s="64">
        <f t="shared" si="2"/>
        <v>16341.2</v>
      </c>
    </row>
    <row r="13" spans="1:9" x14ac:dyDescent="0.2">
      <c r="A13" s="59"/>
      <c r="B13" s="60"/>
      <c r="C13" s="61"/>
      <c r="D13" s="63"/>
      <c r="E13" s="63">
        <f t="shared" si="0"/>
        <v>16341.2</v>
      </c>
      <c r="F13" s="67"/>
      <c r="G13" s="64">
        <f t="shared" si="1"/>
        <v>0</v>
      </c>
      <c r="H13" s="64">
        <f t="shared" si="2"/>
        <v>16341.2</v>
      </c>
    </row>
    <row r="14" spans="1:9" x14ac:dyDescent="0.2">
      <c r="A14" s="59"/>
      <c r="B14" s="60"/>
      <c r="C14" s="61"/>
      <c r="D14" s="63"/>
      <c r="E14" s="63">
        <f t="shared" si="0"/>
        <v>16341.2</v>
      </c>
      <c r="F14" s="64"/>
      <c r="G14" s="64">
        <f t="shared" si="1"/>
        <v>0</v>
      </c>
      <c r="H14" s="64">
        <f t="shared" si="2"/>
        <v>16341.2</v>
      </c>
    </row>
    <row r="15" spans="1:9" x14ac:dyDescent="0.2">
      <c r="A15" s="59"/>
      <c r="B15" s="60"/>
      <c r="C15" s="61"/>
      <c r="D15" s="63"/>
      <c r="E15" s="63">
        <f t="shared" si="0"/>
        <v>16341.2</v>
      </c>
      <c r="F15" s="67"/>
      <c r="G15" s="64">
        <f t="shared" si="1"/>
        <v>0</v>
      </c>
      <c r="H15" s="64">
        <f t="shared" si="2"/>
        <v>16341.2</v>
      </c>
    </row>
    <row r="16" spans="1:9" x14ac:dyDescent="0.2">
      <c r="A16" s="59"/>
      <c r="B16" s="60"/>
      <c r="C16" s="61"/>
      <c r="D16" s="63"/>
      <c r="E16" s="63">
        <f t="shared" si="0"/>
        <v>16341.2</v>
      </c>
      <c r="F16" s="67"/>
      <c r="G16" s="64">
        <f t="shared" si="1"/>
        <v>0</v>
      </c>
      <c r="H16" s="64">
        <f t="shared" si="2"/>
        <v>16341.2</v>
      </c>
    </row>
    <row r="17" spans="1:8" x14ac:dyDescent="0.2">
      <c r="A17" s="59"/>
      <c r="B17" s="60"/>
      <c r="C17" s="61"/>
      <c r="D17" s="63"/>
      <c r="E17" s="63">
        <f t="shared" si="0"/>
        <v>16341.2</v>
      </c>
      <c r="F17" s="67"/>
      <c r="G17" s="64">
        <f t="shared" si="1"/>
        <v>0</v>
      </c>
      <c r="H17" s="64">
        <f t="shared" si="2"/>
        <v>16341.2</v>
      </c>
    </row>
    <row r="18" spans="1:8" x14ac:dyDescent="0.2">
      <c r="A18" s="59"/>
      <c r="B18" s="60"/>
      <c r="C18" s="61"/>
      <c r="D18" s="63"/>
      <c r="E18" s="63">
        <f t="shared" si="0"/>
        <v>16341.2</v>
      </c>
      <c r="F18" s="67"/>
      <c r="G18" s="64">
        <f t="shared" si="1"/>
        <v>0</v>
      </c>
      <c r="H18" s="64">
        <f t="shared" si="2"/>
        <v>16341.2</v>
      </c>
    </row>
    <row r="19" spans="1:8" x14ac:dyDescent="0.2">
      <c r="A19" s="59"/>
      <c r="B19" s="60"/>
      <c r="C19" s="61"/>
      <c r="D19" s="63"/>
      <c r="E19" s="63">
        <f t="shared" si="0"/>
        <v>16341.2</v>
      </c>
      <c r="F19" s="64"/>
      <c r="G19" s="64">
        <f t="shared" si="1"/>
        <v>0</v>
      </c>
      <c r="H19" s="64">
        <f t="shared" si="2"/>
        <v>16341.2</v>
      </c>
    </row>
    <row r="20" spans="1:8" x14ac:dyDescent="0.2">
      <c r="A20" s="59"/>
      <c r="B20" s="60"/>
      <c r="C20" s="61"/>
      <c r="D20" s="63"/>
      <c r="E20" s="63">
        <f t="shared" si="0"/>
        <v>16341.2</v>
      </c>
      <c r="F20" s="64"/>
      <c r="G20" s="64">
        <f t="shared" si="1"/>
        <v>0</v>
      </c>
      <c r="H20" s="64">
        <f t="shared" si="2"/>
        <v>16341.2</v>
      </c>
    </row>
    <row r="21" spans="1:8" x14ac:dyDescent="0.2">
      <c r="A21" s="59"/>
      <c r="B21" s="60"/>
      <c r="C21" s="68"/>
      <c r="D21" s="63"/>
      <c r="E21" s="63">
        <f t="shared" si="0"/>
        <v>16341.2</v>
      </c>
      <c r="F21" s="64"/>
      <c r="G21" s="64">
        <f t="shared" si="1"/>
        <v>0</v>
      </c>
      <c r="H21" s="64">
        <f t="shared" si="2"/>
        <v>16341.2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16341.2</v>
      </c>
      <c r="E23" s="72"/>
      <c r="F23" s="72">
        <f>SUM(F9:F22)</f>
        <v>0</v>
      </c>
      <c r="G23" s="72"/>
      <c r="H23" s="72">
        <f>D23-F23</f>
        <v>16341.2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15641.2</v>
      </c>
      <c r="E26" s="252"/>
      <c r="F26" s="252"/>
      <c r="G26" s="252"/>
      <c r="H26" s="252">
        <f>D26-F26</f>
        <v>15641.2</v>
      </c>
    </row>
    <row r="27" spans="1:8" x14ac:dyDescent="0.2">
      <c r="A27" s="73"/>
      <c r="B27" s="61"/>
      <c r="C27" s="251" t="s">
        <v>173</v>
      </c>
      <c r="D27" s="252">
        <v>700</v>
      </c>
      <c r="E27" s="252"/>
      <c r="F27" s="252"/>
      <c r="G27" s="252"/>
      <c r="H27" s="252">
        <f>D27-F27</f>
        <v>700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16341.2</v>
      </c>
      <c r="E28" s="255"/>
      <c r="F28" s="254">
        <f>SUM(F26:F27)</f>
        <v>0</v>
      </c>
      <c r="G28" s="255"/>
      <c r="H28" s="254">
        <f>SUM(H26:H27)</f>
        <v>16341.2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8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627"/>
  <sheetViews>
    <sheetView zoomScaleNormal="100" workbookViewId="0">
      <selection activeCell="G11" sqref="G1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140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140625" style="65" customWidth="1"/>
    <col min="10" max="16384" width="11.42578125" style="65"/>
  </cols>
  <sheetData>
    <row r="1" spans="1:10" s="3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#9443.00'!B2</f>
        <v>Project # 9443.00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#9443.00'!B3</f>
        <v>Program code 944300</v>
      </c>
      <c r="B3" s="5"/>
      <c r="C3" s="5"/>
      <c r="D3" s="4"/>
      <c r="E3" s="8" t="str">
        <f>'RECAP #9443.00'!E3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274</v>
      </c>
      <c r="F6" s="50"/>
      <c r="G6" s="51"/>
      <c r="H6" s="47"/>
      <c r="I6" s="42"/>
    </row>
    <row r="7" spans="1:10" s="35" customFormat="1" ht="15.75" x14ac:dyDescent="0.25">
      <c r="A7" s="13" t="str">
        <f>'RECAP #9443.00'!B6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25000</v>
      </c>
      <c r="F9" s="63">
        <f>E9</f>
        <v>25000</v>
      </c>
      <c r="G9" s="64"/>
      <c r="H9" s="64"/>
      <c r="I9" s="64">
        <f>F9</f>
        <v>25000</v>
      </c>
    </row>
    <row r="10" spans="1:10" x14ac:dyDescent="0.2">
      <c r="A10" s="257" t="s">
        <v>345</v>
      </c>
      <c r="B10" s="275">
        <v>45635</v>
      </c>
      <c r="C10" s="276">
        <v>2507</v>
      </c>
      <c r="D10" s="277" t="s">
        <v>346</v>
      </c>
      <c r="E10" s="63"/>
      <c r="F10" s="63">
        <f t="shared" ref="F10:F21" si="0">F9+E10</f>
        <v>25000</v>
      </c>
      <c r="G10" s="258">
        <f>23.28+42.07</f>
        <v>65.349999999999994</v>
      </c>
      <c r="H10" s="64">
        <f t="shared" ref="H10:H21" si="1">H9+G10</f>
        <v>65.349999999999994</v>
      </c>
      <c r="I10" s="64">
        <f t="shared" ref="I10:I21" si="2">I9-G10+E10</f>
        <v>24934.65</v>
      </c>
    </row>
    <row r="11" spans="1:10" x14ac:dyDescent="0.2">
      <c r="A11" s="257" t="s">
        <v>345</v>
      </c>
      <c r="B11" s="275">
        <v>45635</v>
      </c>
      <c r="C11" s="276">
        <v>9500</v>
      </c>
      <c r="D11" s="278" t="s">
        <v>347</v>
      </c>
      <c r="E11" s="63"/>
      <c r="F11" s="63">
        <f t="shared" si="0"/>
        <v>25000</v>
      </c>
      <c r="G11" s="258">
        <f>29+407</f>
        <v>436</v>
      </c>
      <c r="H11" s="64">
        <f t="shared" si="1"/>
        <v>501.35</v>
      </c>
      <c r="I11" s="64">
        <f t="shared" si="2"/>
        <v>24498.65</v>
      </c>
    </row>
    <row r="12" spans="1:10" x14ac:dyDescent="0.2">
      <c r="A12" s="85"/>
      <c r="B12" s="60"/>
      <c r="C12" s="60"/>
      <c r="D12" s="83"/>
      <c r="E12" s="63"/>
      <c r="F12" s="63">
        <f t="shared" si="0"/>
        <v>25000</v>
      </c>
      <c r="G12" s="67"/>
      <c r="H12" s="64">
        <f t="shared" si="1"/>
        <v>501.35</v>
      </c>
      <c r="I12" s="64">
        <f t="shared" si="2"/>
        <v>24498.65</v>
      </c>
    </row>
    <row r="13" spans="1:10" x14ac:dyDescent="0.2">
      <c r="A13" s="85"/>
      <c r="B13" s="60"/>
      <c r="C13" s="60"/>
      <c r="D13" s="83"/>
      <c r="E13" s="63"/>
      <c r="F13" s="63">
        <f t="shared" si="0"/>
        <v>25000</v>
      </c>
      <c r="G13" s="67"/>
      <c r="H13" s="64">
        <f t="shared" si="1"/>
        <v>501.35</v>
      </c>
      <c r="I13" s="64">
        <f t="shared" si="2"/>
        <v>24498.65</v>
      </c>
    </row>
    <row r="14" spans="1:10" x14ac:dyDescent="0.2">
      <c r="A14" s="85"/>
      <c r="B14" s="60"/>
      <c r="C14" s="60"/>
      <c r="D14" s="83"/>
      <c r="E14" s="63"/>
      <c r="F14" s="63">
        <f t="shared" si="0"/>
        <v>25000</v>
      </c>
      <c r="G14" s="64"/>
      <c r="H14" s="64">
        <f t="shared" si="1"/>
        <v>501.35</v>
      </c>
      <c r="I14" s="64">
        <f t="shared" si="2"/>
        <v>24498.65</v>
      </c>
    </row>
    <row r="15" spans="1:10" x14ac:dyDescent="0.2">
      <c r="A15" s="85"/>
      <c r="B15" s="60"/>
      <c r="C15" s="60"/>
      <c r="D15" s="83"/>
      <c r="E15" s="63"/>
      <c r="F15" s="63">
        <f t="shared" si="0"/>
        <v>25000</v>
      </c>
      <c r="G15" s="67"/>
      <c r="H15" s="64">
        <f t="shared" si="1"/>
        <v>501.35</v>
      </c>
      <c r="I15" s="64">
        <f t="shared" si="2"/>
        <v>24498.65</v>
      </c>
    </row>
    <row r="16" spans="1:10" x14ac:dyDescent="0.2">
      <c r="A16" s="85"/>
      <c r="B16" s="60"/>
      <c r="C16" s="60"/>
      <c r="D16" s="83"/>
      <c r="E16" s="63"/>
      <c r="F16" s="63">
        <f t="shared" si="0"/>
        <v>25000</v>
      </c>
      <c r="G16" s="67"/>
      <c r="H16" s="64">
        <f t="shared" si="1"/>
        <v>501.35</v>
      </c>
      <c r="I16" s="64">
        <f t="shared" si="2"/>
        <v>24498.65</v>
      </c>
    </row>
    <row r="17" spans="1:9" x14ac:dyDescent="0.2">
      <c r="A17" s="85"/>
      <c r="B17" s="60"/>
      <c r="C17" s="60"/>
      <c r="D17" s="83"/>
      <c r="E17" s="63"/>
      <c r="F17" s="63">
        <f t="shared" si="0"/>
        <v>25000</v>
      </c>
      <c r="G17" s="67"/>
      <c r="H17" s="64">
        <f t="shared" si="1"/>
        <v>501.35</v>
      </c>
      <c r="I17" s="64">
        <f t="shared" si="2"/>
        <v>24498.65</v>
      </c>
    </row>
    <row r="18" spans="1:9" x14ac:dyDescent="0.2">
      <c r="A18" s="85"/>
      <c r="B18" s="60"/>
      <c r="C18" s="60"/>
      <c r="D18" s="83"/>
      <c r="E18" s="63"/>
      <c r="F18" s="63">
        <f t="shared" si="0"/>
        <v>25000</v>
      </c>
      <c r="G18" s="67"/>
      <c r="H18" s="64">
        <f t="shared" si="1"/>
        <v>501.35</v>
      </c>
      <c r="I18" s="64">
        <f t="shared" si="2"/>
        <v>24498.65</v>
      </c>
    </row>
    <row r="19" spans="1:9" x14ac:dyDescent="0.2">
      <c r="A19" s="82"/>
      <c r="B19" s="60"/>
      <c r="C19" s="60"/>
      <c r="D19" s="83"/>
      <c r="E19" s="63"/>
      <c r="F19" s="63">
        <f t="shared" si="0"/>
        <v>25000</v>
      </c>
      <c r="G19" s="64"/>
      <c r="H19" s="64">
        <f t="shared" si="1"/>
        <v>501.35</v>
      </c>
      <c r="I19" s="64">
        <f t="shared" si="2"/>
        <v>24498.65</v>
      </c>
    </row>
    <row r="20" spans="1:9" x14ac:dyDescent="0.2">
      <c r="A20" s="82"/>
      <c r="B20" s="60"/>
      <c r="C20" s="60"/>
      <c r="D20" s="83"/>
      <c r="E20" s="63"/>
      <c r="F20" s="63">
        <f t="shared" si="0"/>
        <v>25000</v>
      </c>
      <c r="G20" s="64"/>
      <c r="H20" s="64">
        <f t="shared" si="1"/>
        <v>501.35</v>
      </c>
      <c r="I20" s="64">
        <f t="shared" si="2"/>
        <v>24498.65</v>
      </c>
    </row>
    <row r="21" spans="1:9" x14ac:dyDescent="0.2">
      <c r="A21" s="82"/>
      <c r="B21" s="60"/>
      <c r="C21" s="60"/>
      <c r="D21" s="86"/>
      <c r="E21" s="63"/>
      <c r="F21" s="63">
        <f t="shared" si="0"/>
        <v>25000</v>
      </c>
      <c r="G21" s="64"/>
      <c r="H21" s="64">
        <f t="shared" si="1"/>
        <v>501.35</v>
      </c>
      <c r="I21" s="64">
        <f t="shared" si="2"/>
        <v>24498.65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25000</v>
      </c>
      <c r="F23" s="72"/>
      <c r="G23" s="72">
        <f>SUM(G9:G22)</f>
        <v>501.35</v>
      </c>
      <c r="H23" s="72"/>
      <c r="I23" s="72">
        <f>E23-G23</f>
        <v>24498.65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#9443.00'!B2</f>
        <v>Project # 9443.00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#9443.00'!B3</f>
        <v>Program code 944300</v>
      </c>
      <c r="E3" s="8" t="str">
        <f>'RECAP #9443.00'!E3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#9443.00'!B6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4"/>
  <sheetViews>
    <sheetView zoomScaleNormal="100" workbookViewId="0">
      <selection activeCell="J16" sqref="J1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234</v>
      </c>
      <c r="C1" s="3"/>
    </row>
    <row r="2" spans="1:8" ht="15.75" x14ac:dyDescent="0.25">
      <c r="B2" s="6" t="s">
        <v>245</v>
      </c>
    </row>
    <row r="3" spans="1:8" ht="15.75" x14ac:dyDescent="0.25">
      <c r="B3" s="7" t="s">
        <v>246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247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FINANCIAL!G21</f>
        <v>250000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'#9444.00 Samuels Group'!D23</f>
        <v>32642.58</v>
      </c>
      <c r="E10" s="24">
        <f>'#9444.00 Samuels Group'!F23</f>
        <v>0</v>
      </c>
      <c r="F10" s="24">
        <f>'#9444.00 Samuels Group'!H23</f>
        <v>32642.58</v>
      </c>
      <c r="G10" s="25"/>
      <c r="H10" s="17"/>
    </row>
    <row r="11" spans="1:8" x14ac:dyDescent="0.2">
      <c r="B11" s="5" t="s">
        <v>14</v>
      </c>
      <c r="C11" s="26"/>
      <c r="D11" s="24">
        <f>'#9444.00 PM TIME'!E23</f>
        <v>15000</v>
      </c>
      <c r="E11" s="24">
        <f>'#9444.00 PM TIME'!G23</f>
        <v>829.84</v>
      </c>
      <c r="F11" s="24">
        <f>'#9444.00 PM TIME'!I23</f>
        <v>14170.16</v>
      </c>
      <c r="G11" s="25"/>
      <c r="H11" s="17"/>
    </row>
    <row r="12" spans="1:8" x14ac:dyDescent="0.2">
      <c r="B12" s="5" t="s">
        <v>15</v>
      </c>
      <c r="C12" s="27"/>
      <c r="D12" s="28">
        <f>'#9444.00 Misc'!G22</f>
        <v>0</v>
      </c>
      <c r="E12" s="28">
        <f>'#9444.00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250000</v>
      </c>
      <c r="D14" s="32">
        <f>SUM(D8:D13)</f>
        <v>47642.58</v>
      </c>
      <c r="E14" s="32">
        <f>SUM(E8:E13)</f>
        <v>829.84</v>
      </c>
      <c r="F14" s="32">
        <f>SUM(D14-E14)</f>
        <v>46812.740000000005</v>
      </c>
      <c r="G14" s="32">
        <f>C14-D14</f>
        <v>202357.41999999998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#9444.00'!B1</f>
        <v>DOC CCF Tunnel Repair/Replace Main Bldg to SW Wing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#9444.00'!B2</f>
        <v>Project # 9444.00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#9444.00'!B3</f>
        <v>Program code 944400</v>
      </c>
      <c r="B3" s="5"/>
      <c r="C3" s="4"/>
      <c r="D3" s="8" t="str">
        <f>'RECAP #9444.00'!E3</f>
        <v>Major Program 4E01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#9444.00'!B6</f>
        <v>Project Manager - Brad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319</v>
      </c>
      <c r="B9" s="60">
        <v>45629</v>
      </c>
      <c r="C9" s="61" t="s">
        <v>167</v>
      </c>
      <c r="D9" s="247">
        <v>32642.58</v>
      </c>
      <c r="E9" s="63">
        <f>D9</f>
        <v>32642.58</v>
      </c>
      <c r="F9" s="64"/>
      <c r="G9" s="64"/>
      <c r="H9" s="64">
        <f>E9</f>
        <v>32642.58</v>
      </c>
    </row>
    <row r="10" spans="1:9" x14ac:dyDescent="0.2">
      <c r="A10" s="59"/>
      <c r="B10" s="66"/>
      <c r="C10" s="61"/>
      <c r="D10" s="63"/>
      <c r="E10" s="63">
        <f t="shared" ref="E10:E21" si="0">E9+D10</f>
        <v>32642.58</v>
      </c>
      <c r="F10" s="67"/>
      <c r="G10" s="64">
        <f t="shared" ref="G10:G21" si="1">G9+F10</f>
        <v>0</v>
      </c>
      <c r="H10" s="64">
        <f t="shared" ref="H10:H21" si="2">H9-F10+D10</f>
        <v>32642.58</v>
      </c>
    </row>
    <row r="11" spans="1:9" x14ac:dyDescent="0.2">
      <c r="A11" s="59"/>
      <c r="B11" s="60"/>
      <c r="C11" s="61"/>
      <c r="D11" s="63"/>
      <c r="E11" s="63">
        <f t="shared" si="0"/>
        <v>32642.58</v>
      </c>
      <c r="F11" s="67"/>
      <c r="G11" s="64">
        <f t="shared" si="1"/>
        <v>0</v>
      </c>
      <c r="H11" s="64">
        <f t="shared" si="2"/>
        <v>32642.58</v>
      </c>
    </row>
    <row r="12" spans="1:9" x14ac:dyDescent="0.2">
      <c r="A12" s="59"/>
      <c r="B12" s="60"/>
      <c r="C12" s="61"/>
      <c r="D12" s="63"/>
      <c r="E12" s="63">
        <f t="shared" si="0"/>
        <v>32642.58</v>
      </c>
      <c r="F12" s="67"/>
      <c r="G12" s="64">
        <f t="shared" si="1"/>
        <v>0</v>
      </c>
      <c r="H12" s="64">
        <f t="shared" si="2"/>
        <v>32642.58</v>
      </c>
    </row>
    <row r="13" spans="1:9" x14ac:dyDescent="0.2">
      <c r="A13" s="59"/>
      <c r="B13" s="60"/>
      <c r="C13" s="61"/>
      <c r="D13" s="63"/>
      <c r="E13" s="63">
        <f t="shared" si="0"/>
        <v>32642.58</v>
      </c>
      <c r="F13" s="67"/>
      <c r="G13" s="64">
        <f t="shared" si="1"/>
        <v>0</v>
      </c>
      <c r="H13" s="64">
        <f t="shared" si="2"/>
        <v>32642.58</v>
      </c>
    </row>
    <row r="14" spans="1:9" x14ac:dyDescent="0.2">
      <c r="A14" s="59"/>
      <c r="B14" s="60"/>
      <c r="C14" s="61"/>
      <c r="D14" s="63"/>
      <c r="E14" s="63">
        <f t="shared" si="0"/>
        <v>32642.58</v>
      </c>
      <c r="F14" s="64"/>
      <c r="G14" s="64">
        <f t="shared" si="1"/>
        <v>0</v>
      </c>
      <c r="H14" s="64">
        <f t="shared" si="2"/>
        <v>32642.58</v>
      </c>
    </row>
    <row r="15" spans="1:9" x14ac:dyDescent="0.2">
      <c r="A15" s="59"/>
      <c r="B15" s="60"/>
      <c r="C15" s="61"/>
      <c r="D15" s="63"/>
      <c r="E15" s="63">
        <f t="shared" si="0"/>
        <v>32642.58</v>
      </c>
      <c r="F15" s="67"/>
      <c r="G15" s="64">
        <f t="shared" si="1"/>
        <v>0</v>
      </c>
      <c r="H15" s="64">
        <f t="shared" si="2"/>
        <v>32642.58</v>
      </c>
    </row>
    <row r="16" spans="1:9" x14ac:dyDescent="0.2">
      <c r="A16" s="59"/>
      <c r="B16" s="60"/>
      <c r="C16" s="61"/>
      <c r="D16" s="63"/>
      <c r="E16" s="63">
        <f t="shared" si="0"/>
        <v>32642.58</v>
      </c>
      <c r="F16" s="67"/>
      <c r="G16" s="64">
        <f t="shared" si="1"/>
        <v>0</v>
      </c>
      <c r="H16" s="64">
        <f t="shared" si="2"/>
        <v>32642.58</v>
      </c>
    </row>
    <row r="17" spans="1:8" x14ac:dyDescent="0.2">
      <c r="A17" s="59"/>
      <c r="B17" s="60"/>
      <c r="C17" s="61"/>
      <c r="D17" s="63"/>
      <c r="E17" s="63">
        <f t="shared" si="0"/>
        <v>32642.58</v>
      </c>
      <c r="F17" s="67"/>
      <c r="G17" s="64">
        <f t="shared" si="1"/>
        <v>0</v>
      </c>
      <c r="H17" s="64">
        <f t="shared" si="2"/>
        <v>32642.58</v>
      </c>
    </row>
    <row r="18" spans="1:8" x14ac:dyDescent="0.2">
      <c r="A18" s="59"/>
      <c r="B18" s="60"/>
      <c r="C18" s="61"/>
      <c r="D18" s="63"/>
      <c r="E18" s="63">
        <f t="shared" si="0"/>
        <v>32642.58</v>
      </c>
      <c r="F18" s="67"/>
      <c r="G18" s="64">
        <f t="shared" si="1"/>
        <v>0</v>
      </c>
      <c r="H18" s="64">
        <f t="shared" si="2"/>
        <v>32642.58</v>
      </c>
    </row>
    <row r="19" spans="1:8" x14ac:dyDescent="0.2">
      <c r="A19" s="59"/>
      <c r="B19" s="60"/>
      <c r="C19" s="61"/>
      <c r="D19" s="63"/>
      <c r="E19" s="63">
        <f t="shared" si="0"/>
        <v>32642.58</v>
      </c>
      <c r="F19" s="64"/>
      <c r="G19" s="64">
        <f t="shared" si="1"/>
        <v>0</v>
      </c>
      <c r="H19" s="64">
        <f t="shared" si="2"/>
        <v>32642.58</v>
      </c>
    </row>
    <row r="20" spans="1:8" x14ac:dyDescent="0.2">
      <c r="A20" s="59"/>
      <c r="B20" s="60"/>
      <c r="C20" s="61"/>
      <c r="D20" s="63"/>
      <c r="E20" s="63">
        <f t="shared" si="0"/>
        <v>32642.58</v>
      </c>
      <c r="F20" s="64"/>
      <c r="G20" s="64">
        <f t="shared" si="1"/>
        <v>0</v>
      </c>
      <c r="H20" s="64">
        <f t="shared" si="2"/>
        <v>32642.58</v>
      </c>
    </row>
    <row r="21" spans="1:8" x14ac:dyDescent="0.2">
      <c r="A21" s="59"/>
      <c r="B21" s="60"/>
      <c r="C21" s="68"/>
      <c r="D21" s="63"/>
      <c r="E21" s="63">
        <f t="shared" si="0"/>
        <v>32642.58</v>
      </c>
      <c r="F21" s="64"/>
      <c r="G21" s="64">
        <f t="shared" si="1"/>
        <v>0</v>
      </c>
      <c r="H21" s="64">
        <f t="shared" si="2"/>
        <v>32642.58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32642.58</v>
      </c>
      <c r="E23" s="72"/>
      <c r="F23" s="72">
        <f>SUM(F9:F22)</f>
        <v>0</v>
      </c>
      <c r="G23" s="72"/>
      <c r="H23" s="72">
        <f>D23-F23</f>
        <v>32642.58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31389.58</v>
      </c>
      <c r="E26" s="252"/>
      <c r="F26" s="252"/>
      <c r="G26" s="252"/>
      <c r="H26" s="252">
        <f>D26-F26</f>
        <v>31389.58</v>
      </c>
    </row>
    <row r="27" spans="1:8" x14ac:dyDescent="0.2">
      <c r="A27" s="73"/>
      <c r="B27" s="61"/>
      <c r="C27" s="251" t="s">
        <v>173</v>
      </c>
      <c r="D27" s="252">
        <v>1253</v>
      </c>
      <c r="E27" s="252"/>
      <c r="F27" s="252"/>
      <c r="G27" s="252"/>
      <c r="H27" s="252">
        <f>D27-F27</f>
        <v>1253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32642.58</v>
      </c>
      <c r="E28" s="255"/>
      <c r="F28" s="254">
        <f>SUM(F26:F27)</f>
        <v>0</v>
      </c>
      <c r="G28" s="255"/>
      <c r="H28" s="254">
        <f>SUM(H26:H27)</f>
        <v>32642.58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7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627"/>
  <sheetViews>
    <sheetView zoomScaleNormal="100" workbookViewId="0">
      <selection activeCell="G11" sqref="G1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.42578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#9444.00'!B1</f>
        <v>DOC CCF Tunnel Repair/Replace Main Bldg to SW Wing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#9444.00'!B2</f>
        <v>Project # 9444.00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#9444.00'!B3</f>
        <v>Program code 944400</v>
      </c>
      <c r="B3" s="5"/>
      <c r="C3" s="5"/>
      <c r="D3" s="4"/>
      <c r="E3" s="8" t="str">
        <f>'RECAP #9444.00'!E3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275</v>
      </c>
      <c r="F6" s="50"/>
      <c r="G6" s="51"/>
      <c r="H6" s="47"/>
      <c r="I6" s="42"/>
    </row>
    <row r="7" spans="1:10" s="35" customFormat="1" ht="15.75" x14ac:dyDescent="0.25">
      <c r="A7" s="13" t="str">
        <f>'RECAP #9444.00'!B6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15000</v>
      </c>
      <c r="F9" s="63">
        <f>E9</f>
        <v>15000</v>
      </c>
      <c r="G9" s="64"/>
      <c r="H9" s="64"/>
      <c r="I9" s="64">
        <f>F9</f>
        <v>15000</v>
      </c>
    </row>
    <row r="10" spans="1:10" x14ac:dyDescent="0.2">
      <c r="A10" s="257" t="s">
        <v>345</v>
      </c>
      <c r="B10" s="275">
        <v>45635</v>
      </c>
      <c r="C10" s="276">
        <v>2507</v>
      </c>
      <c r="D10" s="277" t="s">
        <v>346</v>
      </c>
      <c r="E10" s="63"/>
      <c r="F10" s="63">
        <f t="shared" ref="F10:F21" si="0">F9+E10</f>
        <v>15000</v>
      </c>
      <c r="G10" s="258">
        <f>38.52+70.12</f>
        <v>108.64000000000001</v>
      </c>
      <c r="H10" s="64">
        <f t="shared" ref="H10:H21" si="1">H9+G10</f>
        <v>108.64000000000001</v>
      </c>
      <c r="I10" s="64">
        <f t="shared" ref="I10:I21" si="2">I9-G10+E10</f>
        <v>14891.36</v>
      </c>
    </row>
    <row r="11" spans="1:10" x14ac:dyDescent="0.2">
      <c r="A11" s="257" t="s">
        <v>345</v>
      </c>
      <c r="B11" s="275">
        <v>45635</v>
      </c>
      <c r="C11" s="276">
        <v>9500</v>
      </c>
      <c r="D11" s="278" t="s">
        <v>347</v>
      </c>
      <c r="E11" s="63"/>
      <c r="F11" s="63">
        <f t="shared" si="0"/>
        <v>15000</v>
      </c>
      <c r="G11" s="258">
        <f>48+673.2</f>
        <v>721.2</v>
      </c>
      <c r="H11" s="64">
        <f t="shared" si="1"/>
        <v>829.84</v>
      </c>
      <c r="I11" s="64">
        <f t="shared" si="2"/>
        <v>14170.16</v>
      </c>
    </row>
    <row r="12" spans="1:10" x14ac:dyDescent="0.2">
      <c r="A12" s="85"/>
      <c r="B12" s="60"/>
      <c r="C12" s="60"/>
      <c r="D12" s="83"/>
      <c r="E12" s="63"/>
      <c r="F12" s="63">
        <f t="shared" si="0"/>
        <v>15000</v>
      </c>
      <c r="G12" s="67"/>
      <c r="H12" s="64">
        <f t="shared" si="1"/>
        <v>829.84</v>
      </c>
      <c r="I12" s="64">
        <f t="shared" si="2"/>
        <v>14170.16</v>
      </c>
    </row>
    <row r="13" spans="1:10" x14ac:dyDescent="0.2">
      <c r="A13" s="85"/>
      <c r="B13" s="60"/>
      <c r="C13" s="60"/>
      <c r="D13" s="83"/>
      <c r="E13" s="63"/>
      <c r="F13" s="63">
        <f t="shared" si="0"/>
        <v>15000</v>
      </c>
      <c r="G13" s="67"/>
      <c r="H13" s="64">
        <f t="shared" si="1"/>
        <v>829.84</v>
      </c>
      <c r="I13" s="64">
        <f t="shared" si="2"/>
        <v>14170.16</v>
      </c>
    </row>
    <row r="14" spans="1:10" x14ac:dyDescent="0.2">
      <c r="A14" s="85"/>
      <c r="B14" s="60"/>
      <c r="C14" s="60"/>
      <c r="D14" s="83"/>
      <c r="E14" s="63"/>
      <c r="F14" s="63">
        <f t="shared" si="0"/>
        <v>15000</v>
      </c>
      <c r="G14" s="64"/>
      <c r="H14" s="64">
        <f t="shared" si="1"/>
        <v>829.84</v>
      </c>
      <c r="I14" s="64">
        <f t="shared" si="2"/>
        <v>14170.16</v>
      </c>
    </row>
    <row r="15" spans="1:10" x14ac:dyDescent="0.2">
      <c r="A15" s="85"/>
      <c r="B15" s="60"/>
      <c r="C15" s="60"/>
      <c r="D15" s="83"/>
      <c r="E15" s="63"/>
      <c r="F15" s="63">
        <f t="shared" si="0"/>
        <v>15000</v>
      </c>
      <c r="G15" s="67"/>
      <c r="H15" s="64">
        <f t="shared" si="1"/>
        <v>829.84</v>
      </c>
      <c r="I15" s="64">
        <f t="shared" si="2"/>
        <v>14170.16</v>
      </c>
    </row>
    <row r="16" spans="1:10" x14ac:dyDescent="0.2">
      <c r="A16" s="85"/>
      <c r="B16" s="60"/>
      <c r="C16" s="60"/>
      <c r="D16" s="83"/>
      <c r="E16" s="63"/>
      <c r="F16" s="63">
        <f t="shared" si="0"/>
        <v>15000</v>
      </c>
      <c r="G16" s="67"/>
      <c r="H16" s="64">
        <f t="shared" si="1"/>
        <v>829.84</v>
      </c>
      <c r="I16" s="64">
        <f t="shared" si="2"/>
        <v>14170.16</v>
      </c>
    </row>
    <row r="17" spans="1:9" x14ac:dyDescent="0.2">
      <c r="A17" s="85"/>
      <c r="B17" s="60"/>
      <c r="C17" s="60"/>
      <c r="D17" s="83"/>
      <c r="E17" s="63"/>
      <c r="F17" s="63">
        <f t="shared" si="0"/>
        <v>15000</v>
      </c>
      <c r="G17" s="67"/>
      <c r="H17" s="64">
        <f t="shared" si="1"/>
        <v>829.84</v>
      </c>
      <c r="I17" s="64">
        <f t="shared" si="2"/>
        <v>14170.16</v>
      </c>
    </row>
    <row r="18" spans="1:9" x14ac:dyDescent="0.2">
      <c r="A18" s="85"/>
      <c r="B18" s="60"/>
      <c r="C18" s="60"/>
      <c r="D18" s="83"/>
      <c r="E18" s="63"/>
      <c r="F18" s="63">
        <f t="shared" si="0"/>
        <v>15000</v>
      </c>
      <c r="G18" s="67"/>
      <c r="H18" s="64">
        <f t="shared" si="1"/>
        <v>829.84</v>
      </c>
      <c r="I18" s="64">
        <f t="shared" si="2"/>
        <v>14170.16</v>
      </c>
    </row>
    <row r="19" spans="1:9" x14ac:dyDescent="0.2">
      <c r="A19" s="82"/>
      <c r="B19" s="60"/>
      <c r="C19" s="60"/>
      <c r="D19" s="83"/>
      <c r="E19" s="63"/>
      <c r="F19" s="63">
        <f t="shared" si="0"/>
        <v>15000</v>
      </c>
      <c r="G19" s="64"/>
      <c r="H19" s="64">
        <f t="shared" si="1"/>
        <v>829.84</v>
      </c>
      <c r="I19" s="64">
        <f t="shared" si="2"/>
        <v>14170.16</v>
      </c>
    </row>
    <row r="20" spans="1:9" x14ac:dyDescent="0.2">
      <c r="A20" s="82"/>
      <c r="B20" s="60"/>
      <c r="C20" s="60"/>
      <c r="D20" s="83"/>
      <c r="E20" s="63"/>
      <c r="F20" s="63">
        <f t="shared" si="0"/>
        <v>15000</v>
      </c>
      <c r="G20" s="64"/>
      <c r="H20" s="64">
        <f t="shared" si="1"/>
        <v>829.84</v>
      </c>
      <c r="I20" s="64">
        <f t="shared" si="2"/>
        <v>14170.16</v>
      </c>
    </row>
    <row r="21" spans="1:9" x14ac:dyDescent="0.2">
      <c r="A21" s="82"/>
      <c r="B21" s="60"/>
      <c r="C21" s="60"/>
      <c r="D21" s="86"/>
      <c r="E21" s="63"/>
      <c r="F21" s="63">
        <f t="shared" si="0"/>
        <v>15000</v>
      </c>
      <c r="G21" s="64"/>
      <c r="H21" s="64">
        <f t="shared" si="1"/>
        <v>829.84</v>
      </c>
      <c r="I21" s="64">
        <f t="shared" si="2"/>
        <v>14170.16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15000</v>
      </c>
      <c r="F23" s="72"/>
      <c r="G23" s="72">
        <f>SUM(G9:G22)</f>
        <v>829.84</v>
      </c>
      <c r="H23" s="72"/>
      <c r="I23" s="72">
        <f>E23-G23</f>
        <v>14170.16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#9444.00'!B1</f>
        <v>DOC CCF Tunnel Repair/Replace Main Bldg to SW Wing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#9444.00'!B2</f>
        <v>Project # 9444.00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#9444.00'!B3</f>
        <v>Program code 944400</v>
      </c>
      <c r="E3" s="8" t="str">
        <f>'RECAP #9444.00'!E3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320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#9444.00'!B6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4"/>
  <sheetViews>
    <sheetView zoomScaleNormal="100" workbookViewId="0">
      <selection activeCell="B11" sqref="B1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235</v>
      </c>
      <c r="C1" s="3"/>
    </row>
    <row r="2" spans="1:8" ht="15.75" x14ac:dyDescent="0.25">
      <c r="B2" s="6" t="s">
        <v>248</v>
      </c>
    </row>
    <row r="3" spans="1:8" ht="15.75" x14ac:dyDescent="0.25">
      <c r="B3" s="7" t="s">
        <v>249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FINANCIAL!G22</f>
        <v>1800000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'#9445.00 Samuels Group'!D23</f>
        <v>28873.02</v>
      </c>
      <c r="E10" s="24">
        <f>'#9445.00 Samuels Group'!F23</f>
        <v>846.53</v>
      </c>
      <c r="F10" s="24">
        <f>'#9445.00 Samuels Group'!H23</f>
        <v>28026.49</v>
      </c>
      <c r="G10" s="25"/>
      <c r="H10" s="17"/>
    </row>
    <row r="11" spans="1:8" x14ac:dyDescent="0.2">
      <c r="B11" s="5" t="s">
        <v>14</v>
      </c>
      <c r="C11" s="26"/>
      <c r="D11" s="24">
        <f>'#9445.00 PM TIME'!E23</f>
        <v>22255</v>
      </c>
      <c r="E11" s="24">
        <f>'#9445.00 PM TIME'!G23</f>
        <v>790.74</v>
      </c>
      <c r="F11" s="24">
        <f>'#9445.00 PM TIME'!I23</f>
        <v>21464.26</v>
      </c>
      <c r="G11" s="25"/>
      <c r="H11" s="17"/>
    </row>
    <row r="12" spans="1:8" x14ac:dyDescent="0.2">
      <c r="B12" s="5" t="s">
        <v>15</v>
      </c>
      <c r="C12" s="27"/>
      <c r="D12" s="28">
        <f>'#9445.00 Misc'!G22</f>
        <v>0</v>
      </c>
      <c r="E12" s="28">
        <f>'#9445.00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1800000</v>
      </c>
      <c r="D14" s="32">
        <f>SUM(D8:D13)</f>
        <v>51128.020000000004</v>
      </c>
      <c r="E14" s="32">
        <f>SUM(E8:E13)</f>
        <v>1637.27</v>
      </c>
      <c r="F14" s="32">
        <f>SUM(D14-E14)</f>
        <v>49490.750000000007</v>
      </c>
      <c r="G14" s="32">
        <f>C14-D14</f>
        <v>1748871.98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#9445.00'!B1</f>
        <v>DOC IMCC Fire Alarm System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#9445.00'!B2</f>
        <v>Project # 9445.00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#9445.00'!B3</f>
        <v>Program code 944500</v>
      </c>
      <c r="B3" s="5"/>
      <c r="C3" s="4"/>
      <c r="D3" s="8" t="str">
        <f>'RECAP #9445.00'!E3</f>
        <v>Major Program 4E01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#9445.00'!B6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309</v>
      </c>
      <c r="B9" s="60">
        <v>45615</v>
      </c>
      <c r="C9" s="61" t="s">
        <v>167</v>
      </c>
      <c r="D9" s="247">
        <v>28873.02</v>
      </c>
      <c r="E9" s="63">
        <f>D9</f>
        <v>28873.02</v>
      </c>
      <c r="F9" s="64"/>
      <c r="G9" s="64"/>
      <c r="H9" s="64">
        <f>E9</f>
        <v>28873.02</v>
      </c>
    </row>
    <row r="10" spans="1:9" x14ac:dyDescent="0.2">
      <c r="A10" s="59" t="s">
        <v>339</v>
      </c>
      <c r="B10" s="66">
        <v>45632</v>
      </c>
      <c r="C10" s="61" t="s">
        <v>340</v>
      </c>
      <c r="D10" s="63"/>
      <c r="E10" s="63">
        <f t="shared" ref="E10:E21" si="0">E9+D10</f>
        <v>28873.02</v>
      </c>
      <c r="F10" s="258">
        <v>846.53</v>
      </c>
      <c r="G10" s="64">
        <f t="shared" ref="G10:G21" si="1">G9+F10</f>
        <v>846.53</v>
      </c>
      <c r="H10" s="64">
        <f t="shared" ref="H10:H21" si="2">H9-F10+D10</f>
        <v>28026.49</v>
      </c>
    </row>
    <row r="11" spans="1:9" x14ac:dyDescent="0.2">
      <c r="A11" s="59"/>
      <c r="B11" s="60"/>
      <c r="C11" s="61"/>
      <c r="D11" s="63"/>
      <c r="E11" s="63">
        <f t="shared" si="0"/>
        <v>28873.02</v>
      </c>
      <c r="F11" s="67"/>
      <c r="G11" s="64">
        <f t="shared" si="1"/>
        <v>846.53</v>
      </c>
      <c r="H11" s="64">
        <f t="shared" si="2"/>
        <v>28026.49</v>
      </c>
    </row>
    <row r="12" spans="1:9" x14ac:dyDescent="0.2">
      <c r="A12" s="59"/>
      <c r="B12" s="60"/>
      <c r="C12" s="61"/>
      <c r="D12" s="63"/>
      <c r="E12" s="63">
        <f t="shared" si="0"/>
        <v>28873.02</v>
      </c>
      <c r="F12" s="67"/>
      <c r="G12" s="64">
        <f t="shared" si="1"/>
        <v>846.53</v>
      </c>
      <c r="H12" s="64">
        <f t="shared" si="2"/>
        <v>28026.49</v>
      </c>
    </row>
    <row r="13" spans="1:9" x14ac:dyDescent="0.2">
      <c r="A13" s="59"/>
      <c r="B13" s="60"/>
      <c r="C13" s="61"/>
      <c r="D13" s="63"/>
      <c r="E13" s="63">
        <f t="shared" si="0"/>
        <v>28873.02</v>
      </c>
      <c r="F13" s="67"/>
      <c r="G13" s="64">
        <f t="shared" si="1"/>
        <v>846.53</v>
      </c>
      <c r="H13" s="64">
        <f t="shared" si="2"/>
        <v>28026.49</v>
      </c>
    </row>
    <row r="14" spans="1:9" x14ac:dyDescent="0.2">
      <c r="A14" s="59"/>
      <c r="B14" s="60"/>
      <c r="C14" s="61"/>
      <c r="D14" s="63"/>
      <c r="E14" s="63">
        <f t="shared" si="0"/>
        <v>28873.02</v>
      </c>
      <c r="F14" s="64"/>
      <c r="G14" s="64">
        <f t="shared" si="1"/>
        <v>846.53</v>
      </c>
      <c r="H14" s="64">
        <f t="shared" si="2"/>
        <v>28026.49</v>
      </c>
    </row>
    <row r="15" spans="1:9" x14ac:dyDescent="0.2">
      <c r="A15" s="59"/>
      <c r="B15" s="60"/>
      <c r="C15" s="61"/>
      <c r="D15" s="63"/>
      <c r="E15" s="63">
        <f t="shared" si="0"/>
        <v>28873.02</v>
      </c>
      <c r="F15" s="67"/>
      <c r="G15" s="64">
        <f t="shared" si="1"/>
        <v>846.53</v>
      </c>
      <c r="H15" s="64">
        <f t="shared" si="2"/>
        <v>28026.49</v>
      </c>
    </row>
    <row r="16" spans="1:9" x14ac:dyDescent="0.2">
      <c r="A16" s="59"/>
      <c r="B16" s="60"/>
      <c r="C16" s="61"/>
      <c r="D16" s="63"/>
      <c r="E16" s="63">
        <f t="shared" si="0"/>
        <v>28873.02</v>
      </c>
      <c r="F16" s="67"/>
      <c r="G16" s="64">
        <f t="shared" si="1"/>
        <v>846.53</v>
      </c>
      <c r="H16" s="64">
        <f t="shared" si="2"/>
        <v>28026.49</v>
      </c>
    </row>
    <row r="17" spans="1:8" x14ac:dyDescent="0.2">
      <c r="A17" s="59"/>
      <c r="B17" s="60"/>
      <c r="C17" s="61"/>
      <c r="D17" s="63"/>
      <c r="E17" s="63">
        <f t="shared" si="0"/>
        <v>28873.02</v>
      </c>
      <c r="F17" s="67"/>
      <c r="G17" s="64">
        <f t="shared" si="1"/>
        <v>846.53</v>
      </c>
      <c r="H17" s="64">
        <f t="shared" si="2"/>
        <v>28026.49</v>
      </c>
    </row>
    <row r="18" spans="1:8" x14ac:dyDescent="0.2">
      <c r="A18" s="59"/>
      <c r="B18" s="60"/>
      <c r="C18" s="61"/>
      <c r="D18" s="63"/>
      <c r="E18" s="63">
        <f t="shared" si="0"/>
        <v>28873.02</v>
      </c>
      <c r="F18" s="67"/>
      <c r="G18" s="64">
        <f t="shared" si="1"/>
        <v>846.53</v>
      </c>
      <c r="H18" s="64">
        <f t="shared" si="2"/>
        <v>28026.49</v>
      </c>
    </row>
    <row r="19" spans="1:8" x14ac:dyDescent="0.2">
      <c r="A19" s="59"/>
      <c r="B19" s="60"/>
      <c r="C19" s="61"/>
      <c r="D19" s="63"/>
      <c r="E19" s="63">
        <f t="shared" si="0"/>
        <v>28873.02</v>
      </c>
      <c r="F19" s="64"/>
      <c r="G19" s="64">
        <f t="shared" si="1"/>
        <v>846.53</v>
      </c>
      <c r="H19" s="64">
        <f t="shared" si="2"/>
        <v>28026.49</v>
      </c>
    </row>
    <row r="20" spans="1:8" x14ac:dyDescent="0.2">
      <c r="A20" s="59"/>
      <c r="B20" s="60"/>
      <c r="C20" s="61"/>
      <c r="D20" s="63"/>
      <c r="E20" s="63">
        <f t="shared" si="0"/>
        <v>28873.02</v>
      </c>
      <c r="F20" s="64"/>
      <c r="G20" s="64">
        <f t="shared" si="1"/>
        <v>846.53</v>
      </c>
      <c r="H20" s="64">
        <f t="shared" si="2"/>
        <v>28026.49</v>
      </c>
    </row>
    <row r="21" spans="1:8" x14ac:dyDescent="0.2">
      <c r="A21" s="59"/>
      <c r="B21" s="60"/>
      <c r="C21" s="68"/>
      <c r="D21" s="63"/>
      <c r="E21" s="63">
        <f t="shared" si="0"/>
        <v>28873.02</v>
      </c>
      <c r="F21" s="64"/>
      <c r="G21" s="64">
        <f t="shared" si="1"/>
        <v>846.53</v>
      </c>
      <c r="H21" s="64">
        <f t="shared" si="2"/>
        <v>28026.49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28873.02</v>
      </c>
      <c r="E23" s="72"/>
      <c r="F23" s="72">
        <f>SUM(F9:F22)</f>
        <v>846.53</v>
      </c>
      <c r="G23" s="72"/>
      <c r="H23" s="72">
        <f>D23-F23</f>
        <v>28026.49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28153.02</v>
      </c>
      <c r="E26" s="252"/>
      <c r="F26" s="252">
        <f>846.53</f>
        <v>846.53</v>
      </c>
      <c r="G26" s="252"/>
      <c r="H26" s="252">
        <f>D26-F26</f>
        <v>27306.49</v>
      </c>
    </row>
    <row r="27" spans="1:8" x14ac:dyDescent="0.2">
      <c r="A27" s="73"/>
      <c r="B27" s="61"/>
      <c r="C27" s="251" t="s">
        <v>173</v>
      </c>
      <c r="D27" s="252">
        <v>720</v>
      </c>
      <c r="E27" s="252"/>
      <c r="F27" s="252"/>
      <c r="G27" s="252"/>
      <c r="H27" s="252">
        <f>D27-F27</f>
        <v>720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28873.02</v>
      </c>
      <c r="E28" s="255"/>
      <c r="F28" s="254">
        <f>SUM(F26:F27)</f>
        <v>846.53</v>
      </c>
      <c r="G28" s="255"/>
      <c r="H28" s="254">
        <f>SUM(H26:H27)</f>
        <v>28026.49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6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627"/>
  <sheetViews>
    <sheetView zoomScaleNormal="100" workbookViewId="0">
      <selection activeCell="G11" sqref="G1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5703125" style="65" customWidth="1"/>
    <col min="10" max="16384" width="11.42578125" style="65"/>
  </cols>
  <sheetData>
    <row r="1" spans="1:10" s="35" customFormat="1" ht="24.75" customHeight="1" x14ac:dyDescent="0.25">
      <c r="A1" s="2" t="str">
        <f>'RECAP #9445.00'!B1</f>
        <v>DOC IMCC Fire Alarm System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#9445.00'!B2</f>
        <v>Project # 9445.00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#9445.00'!B3</f>
        <v>Program code 944500</v>
      </c>
      <c r="B3" s="5"/>
      <c r="C3" s="5"/>
      <c r="D3" s="4"/>
      <c r="E3" s="8" t="str">
        <f>'RECAP #9445.00'!E3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276</v>
      </c>
      <c r="F6" s="50"/>
      <c r="G6" s="51"/>
      <c r="H6" s="47"/>
      <c r="I6" s="42"/>
    </row>
    <row r="7" spans="1:10" s="35" customFormat="1" ht="15.75" x14ac:dyDescent="0.25">
      <c r="A7" s="13" t="str">
        <f>'RECAP #9445.00'!B6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22255</v>
      </c>
      <c r="F9" s="63">
        <f>E9</f>
        <v>22255</v>
      </c>
      <c r="G9" s="64"/>
      <c r="H9" s="64"/>
      <c r="I9" s="64">
        <f>F9</f>
        <v>22255</v>
      </c>
    </row>
    <row r="10" spans="1:10" x14ac:dyDescent="0.2">
      <c r="A10" s="257" t="s">
        <v>345</v>
      </c>
      <c r="B10" s="275">
        <v>45635</v>
      </c>
      <c r="C10" s="276">
        <v>2507</v>
      </c>
      <c r="D10" s="277" t="s">
        <v>346</v>
      </c>
      <c r="E10" s="63"/>
      <c r="F10" s="63">
        <f t="shared" ref="F10:F21" si="0">F9+E10</f>
        <v>22255</v>
      </c>
      <c r="G10" s="258">
        <f>36.83+66.61</f>
        <v>103.44</v>
      </c>
      <c r="H10" s="64">
        <f t="shared" ref="H10:H21" si="1">H9+G10</f>
        <v>103.44</v>
      </c>
      <c r="I10" s="64">
        <f t="shared" ref="I10:I21" si="2">I9-G10+E10</f>
        <v>22151.56</v>
      </c>
    </row>
    <row r="11" spans="1:10" x14ac:dyDescent="0.2">
      <c r="A11" s="257" t="s">
        <v>345</v>
      </c>
      <c r="B11" s="275">
        <v>45635</v>
      </c>
      <c r="C11" s="276">
        <v>9500</v>
      </c>
      <c r="D11" s="278" t="s">
        <v>347</v>
      </c>
      <c r="E11" s="63"/>
      <c r="F11" s="63">
        <f t="shared" si="0"/>
        <v>22255</v>
      </c>
      <c r="G11" s="258">
        <f>46+641.3</f>
        <v>687.3</v>
      </c>
      <c r="H11" s="64">
        <f t="shared" si="1"/>
        <v>790.74</v>
      </c>
      <c r="I11" s="64">
        <f t="shared" si="2"/>
        <v>21464.260000000002</v>
      </c>
    </row>
    <row r="12" spans="1:10" x14ac:dyDescent="0.2">
      <c r="A12" s="85"/>
      <c r="B12" s="60"/>
      <c r="C12" s="60"/>
      <c r="D12" s="83"/>
      <c r="E12" s="63"/>
      <c r="F12" s="63">
        <f t="shared" si="0"/>
        <v>22255</v>
      </c>
      <c r="G12" s="67"/>
      <c r="H12" s="64">
        <f t="shared" si="1"/>
        <v>790.74</v>
      </c>
      <c r="I12" s="64">
        <f t="shared" si="2"/>
        <v>21464.260000000002</v>
      </c>
    </row>
    <row r="13" spans="1:10" x14ac:dyDescent="0.2">
      <c r="A13" s="85"/>
      <c r="B13" s="60"/>
      <c r="C13" s="60"/>
      <c r="D13" s="83"/>
      <c r="E13" s="63"/>
      <c r="F13" s="63">
        <f t="shared" si="0"/>
        <v>22255</v>
      </c>
      <c r="G13" s="67"/>
      <c r="H13" s="64">
        <f t="shared" si="1"/>
        <v>790.74</v>
      </c>
      <c r="I13" s="64">
        <f t="shared" si="2"/>
        <v>21464.260000000002</v>
      </c>
    </row>
    <row r="14" spans="1:10" x14ac:dyDescent="0.2">
      <c r="A14" s="85"/>
      <c r="B14" s="60"/>
      <c r="C14" s="60"/>
      <c r="D14" s="83"/>
      <c r="E14" s="63"/>
      <c r="F14" s="63">
        <f t="shared" si="0"/>
        <v>22255</v>
      </c>
      <c r="G14" s="64"/>
      <c r="H14" s="64">
        <f t="shared" si="1"/>
        <v>790.74</v>
      </c>
      <c r="I14" s="64">
        <f t="shared" si="2"/>
        <v>21464.260000000002</v>
      </c>
    </row>
    <row r="15" spans="1:10" x14ac:dyDescent="0.2">
      <c r="A15" s="85"/>
      <c r="B15" s="60"/>
      <c r="C15" s="60"/>
      <c r="D15" s="83"/>
      <c r="E15" s="63"/>
      <c r="F15" s="63">
        <f t="shared" si="0"/>
        <v>22255</v>
      </c>
      <c r="G15" s="67"/>
      <c r="H15" s="64">
        <f t="shared" si="1"/>
        <v>790.74</v>
      </c>
      <c r="I15" s="64">
        <f t="shared" si="2"/>
        <v>21464.260000000002</v>
      </c>
    </row>
    <row r="16" spans="1:10" x14ac:dyDescent="0.2">
      <c r="A16" s="85"/>
      <c r="B16" s="60"/>
      <c r="C16" s="60"/>
      <c r="D16" s="83"/>
      <c r="E16" s="63"/>
      <c r="F16" s="63">
        <f t="shared" si="0"/>
        <v>22255</v>
      </c>
      <c r="G16" s="67"/>
      <c r="H16" s="64">
        <f t="shared" si="1"/>
        <v>790.74</v>
      </c>
      <c r="I16" s="64">
        <f t="shared" si="2"/>
        <v>21464.260000000002</v>
      </c>
    </row>
    <row r="17" spans="1:9" x14ac:dyDescent="0.2">
      <c r="A17" s="85"/>
      <c r="B17" s="60"/>
      <c r="C17" s="60"/>
      <c r="D17" s="83"/>
      <c r="E17" s="63"/>
      <c r="F17" s="63">
        <f t="shared" si="0"/>
        <v>22255</v>
      </c>
      <c r="G17" s="67"/>
      <c r="H17" s="64">
        <f t="shared" si="1"/>
        <v>790.74</v>
      </c>
      <c r="I17" s="64">
        <f t="shared" si="2"/>
        <v>21464.260000000002</v>
      </c>
    </row>
    <row r="18" spans="1:9" x14ac:dyDescent="0.2">
      <c r="A18" s="85"/>
      <c r="B18" s="60"/>
      <c r="C18" s="60"/>
      <c r="D18" s="83"/>
      <c r="E18" s="63"/>
      <c r="F18" s="63">
        <f t="shared" si="0"/>
        <v>22255</v>
      </c>
      <c r="G18" s="67"/>
      <c r="H18" s="64">
        <f t="shared" si="1"/>
        <v>790.74</v>
      </c>
      <c r="I18" s="64">
        <f t="shared" si="2"/>
        <v>21464.260000000002</v>
      </c>
    </row>
    <row r="19" spans="1:9" x14ac:dyDescent="0.2">
      <c r="A19" s="82"/>
      <c r="B19" s="60"/>
      <c r="C19" s="60"/>
      <c r="D19" s="83"/>
      <c r="E19" s="63"/>
      <c r="F19" s="63">
        <f t="shared" si="0"/>
        <v>22255</v>
      </c>
      <c r="G19" s="64"/>
      <c r="H19" s="64">
        <f t="shared" si="1"/>
        <v>790.74</v>
      </c>
      <c r="I19" s="64">
        <f t="shared" si="2"/>
        <v>21464.260000000002</v>
      </c>
    </row>
    <row r="20" spans="1:9" x14ac:dyDescent="0.2">
      <c r="A20" s="82"/>
      <c r="B20" s="60"/>
      <c r="C20" s="60"/>
      <c r="D20" s="83"/>
      <c r="E20" s="63"/>
      <c r="F20" s="63">
        <f t="shared" si="0"/>
        <v>22255</v>
      </c>
      <c r="G20" s="64"/>
      <c r="H20" s="64">
        <f t="shared" si="1"/>
        <v>790.74</v>
      </c>
      <c r="I20" s="64">
        <f t="shared" si="2"/>
        <v>21464.260000000002</v>
      </c>
    </row>
    <row r="21" spans="1:9" x14ac:dyDescent="0.2">
      <c r="A21" s="82"/>
      <c r="B21" s="60"/>
      <c r="C21" s="60"/>
      <c r="D21" s="86"/>
      <c r="E21" s="63"/>
      <c r="F21" s="63">
        <f t="shared" si="0"/>
        <v>22255</v>
      </c>
      <c r="G21" s="64"/>
      <c r="H21" s="64">
        <f t="shared" si="1"/>
        <v>790.74</v>
      </c>
      <c r="I21" s="64">
        <f t="shared" si="2"/>
        <v>21464.260000000002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22255</v>
      </c>
      <c r="F23" s="72"/>
      <c r="G23" s="72">
        <f>SUM(G9:G22)</f>
        <v>790.74</v>
      </c>
      <c r="H23" s="72"/>
      <c r="I23" s="72">
        <f>E23-G23</f>
        <v>21464.26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30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#9445.00'!B1</f>
        <v>DOC IMCC Fire Alarm System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#9445.00'!B2</f>
        <v>Project # 9445.00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#9445.00'!B3</f>
        <v>Program code 944500</v>
      </c>
      <c r="E3" s="8" t="str">
        <f>'RECAP #9445.00'!E3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308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#9445.00'!B6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5"/>
  <sheetViews>
    <sheetView zoomScaleNormal="100" workbookViewId="0">
      <selection activeCell="F24" sqref="F2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277</v>
      </c>
      <c r="C1" s="3"/>
    </row>
    <row r="2" spans="1:8" ht="15.75" x14ac:dyDescent="0.25">
      <c r="B2" s="6" t="s">
        <v>278</v>
      </c>
    </row>
    <row r="3" spans="1:8" ht="15.75" x14ac:dyDescent="0.25">
      <c r="B3" s="7" t="s">
        <v>279</v>
      </c>
      <c r="E3" s="8" t="s">
        <v>281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280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FINANCIAL!G23</f>
        <v>720000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265</v>
      </c>
      <c r="C10" s="26"/>
      <c r="D10" s="24">
        <f>'#9447.00 DCI Group'!D23</f>
        <v>7709.12</v>
      </c>
      <c r="E10" s="24">
        <f>'#9447.00 DCI Group'!F23</f>
        <v>0</v>
      </c>
      <c r="F10" s="24">
        <f>'#9447.00 DCI Group'!H23</f>
        <v>7709.12</v>
      </c>
      <c r="G10" s="25"/>
      <c r="H10" s="17"/>
    </row>
    <row r="11" spans="1:8" x14ac:dyDescent="0.2">
      <c r="B11" s="5" t="s">
        <v>14</v>
      </c>
      <c r="C11" s="26"/>
      <c r="D11" s="24">
        <f>'#9447.00 PM TIME'!E23</f>
        <v>15000</v>
      </c>
      <c r="E11" s="24">
        <f>'#9447.00 PM TIME'!G23</f>
        <v>688.07</v>
      </c>
      <c r="F11" s="24">
        <f>'#9447.00 PM TIME'!I23</f>
        <v>14311.93</v>
      </c>
      <c r="G11" s="25"/>
      <c r="H11" s="17"/>
    </row>
    <row r="12" spans="1:8" x14ac:dyDescent="0.2">
      <c r="B12" s="5" t="s">
        <v>15</v>
      </c>
      <c r="C12" s="27"/>
      <c r="D12" s="28">
        <f>'#9447.00 Misc '!G22</f>
        <v>0</v>
      </c>
      <c r="E12" s="28">
        <f>'#9447.00 Misc '!G22</f>
        <v>0</v>
      </c>
      <c r="F12" s="24">
        <f>D12-E12</f>
        <v>0</v>
      </c>
      <c r="G12" s="25"/>
      <c r="H12" s="17"/>
    </row>
    <row r="13" spans="1:8" x14ac:dyDescent="0.2">
      <c r="B13" s="5" t="s">
        <v>303</v>
      </c>
      <c r="C13" s="27"/>
      <c r="D13" s="28">
        <f>'#9447.00 OPN Architects'!D23</f>
        <v>12060</v>
      </c>
      <c r="E13" s="28">
        <f>'#9447.00 OPN Architects'!F23</f>
        <v>0</v>
      </c>
      <c r="F13" s="24">
        <f>'#9447.00 OPN Architects'!H23</f>
        <v>12060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720000</v>
      </c>
      <c r="D15" s="32">
        <f>SUM(D8:D14)</f>
        <v>34769.119999999995</v>
      </c>
      <c r="E15" s="32">
        <f>SUM(E8:E14)</f>
        <v>688.07</v>
      </c>
      <c r="F15" s="32">
        <f>SUM(D15-E15)</f>
        <v>34081.049999999996</v>
      </c>
      <c r="G15" s="32">
        <f>C15-D15</f>
        <v>685230.88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#9447.00'!B1</f>
        <v> DAS TH HVAC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#9447.00'!B2</f>
        <v>Project # 9447.00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#9447.00'!B3</f>
        <v>Program code 944700</v>
      </c>
      <c r="B3" s="5"/>
      <c r="C3" s="4"/>
      <c r="D3" s="8" t="str">
        <f>'RECAP #9447.00'!E3</f>
        <v>Major Program 4D04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#9447.00'!B6</f>
        <v>Project Manager -James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343</v>
      </c>
      <c r="B9" s="60">
        <v>45636</v>
      </c>
      <c r="C9" s="61" t="s">
        <v>167</v>
      </c>
      <c r="D9" s="247">
        <v>7709.12</v>
      </c>
      <c r="E9" s="63">
        <f>D9</f>
        <v>7709.12</v>
      </c>
      <c r="F9" s="64"/>
      <c r="G9" s="64"/>
      <c r="H9" s="64">
        <f>E9</f>
        <v>7709.12</v>
      </c>
    </row>
    <row r="10" spans="1:9" x14ac:dyDescent="0.2">
      <c r="A10" s="59"/>
      <c r="B10" s="66"/>
      <c r="C10" s="61"/>
      <c r="D10" s="63"/>
      <c r="E10" s="63">
        <f t="shared" ref="E10:E21" si="0">E9+D10</f>
        <v>7709.12</v>
      </c>
      <c r="F10" s="67"/>
      <c r="G10" s="64">
        <f t="shared" ref="G10:G21" si="1">G9+F10</f>
        <v>0</v>
      </c>
      <c r="H10" s="64">
        <f t="shared" ref="H10:H21" si="2">H9-F10+D10</f>
        <v>7709.12</v>
      </c>
    </row>
    <row r="11" spans="1:9" x14ac:dyDescent="0.2">
      <c r="A11" s="59"/>
      <c r="B11" s="60"/>
      <c r="C11" s="61"/>
      <c r="D11" s="63"/>
      <c r="E11" s="63">
        <f t="shared" si="0"/>
        <v>7709.12</v>
      </c>
      <c r="F11" s="67"/>
      <c r="G11" s="64">
        <f t="shared" si="1"/>
        <v>0</v>
      </c>
      <c r="H11" s="64">
        <f t="shared" si="2"/>
        <v>7709.12</v>
      </c>
    </row>
    <row r="12" spans="1:9" x14ac:dyDescent="0.2">
      <c r="A12" s="59"/>
      <c r="B12" s="60"/>
      <c r="C12" s="61"/>
      <c r="D12" s="63"/>
      <c r="E12" s="63">
        <f t="shared" si="0"/>
        <v>7709.12</v>
      </c>
      <c r="F12" s="67"/>
      <c r="G12" s="64">
        <f t="shared" si="1"/>
        <v>0</v>
      </c>
      <c r="H12" s="64">
        <f t="shared" si="2"/>
        <v>7709.12</v>
      </c>
    </row>
    <row r="13" spans="1:9" x14ac:dyDescent="0.2">
      <c r="A13" s="59"/>
      <c r="B13" s="60"/>
      <c r="C13" s="61"/>
      <c r="D13" s="63"/>
      <c r="E13" s="63">
        <f t="shared" si="0"/>
        <v>7709.12</v>
      </c>
      <c r="F13" s="67"/>
      <c r="G13" s="64">
        <f t="shared" si="1"/>
        <v>0</v>
      </c>
      <c r="H13" s="64">
        <f t="shared" si="2"/>
        <v>7709.12</v>
      </c>
    </row>
    <row r="14" spans="1:9" x14ac:dyDescent="0.2">
      <c r="A14" s="59"/>
      <c r="B14" s="60"/>
      <c r="C14" s="61"/>
      <c r="D14" s="63"/>
      <c r="E14" s="63">
        <f t="shared" si="0"/>
        <v>7709.12</v>
      </c>
      <c r="F14" s="64"/>
      <c r="G14" s="64">
        <f t="shared" si="1"/>
        <v>0</v>
      </c>
      <c r="H14" s="64">
        <f t="shared" si="2"/>
        <v>7709.12</v>
      </c>
    </row>
    <row r="15" spans="1:9" x14ac:dyDescent="0.2">
      <c r="A15" s="59"/>
      <c r="B15" s="60"/>
      <c r="C15" s="61"/>
      <c r="D15" s="63"/>
      <c r="E15" s="63">
        <f t="shared" si="0"/>
        <v>7709.12</v>
      </c>
      <c r="F15" s="67"/>
      <c r="G15" s="64">
        <f t="shared" si="1"/>
        <v>0</v>
      </c>
      <c r="H15" s="64">
        <f t="shared" si="2"/>
        <v>7709.12</v>
      </c>
    </row>
    <row r="16" spans="1:9" x14ac:dyDescent="0.2">
      <c r="A16" s="59"/>
      <c r="B16" s="60"/>
      <c r="C16" s="61"/>
      <c r="D16" s="63"/>
      <c r="E16" s="63">
        <f t="shared" si="0"/>
        <v>7709.12</v>
      </c>
      <c r="F16" s="67"/>
      <c r="G16" s="64">
        <f t="shared" si="1"/>
        <v>0</v>
      </c>
      <c r="H16" s="64">
        <f t="shared" si="2"/>
        <v>7709.12</v>
      </c>
    </row>
    <row r="17" spans="1:8" x14ac:dyDescent="0.2">
      <c r="A17" s="59"/>
      <c r="B17" s="60"/>
      <c r="C17" s="61"/>
      <c r="D17" s="63"/>
      <c r="E17" s="63">
        <f t="shared" si="0"/>
        <v>7709.12</v>
      </c>
      <c r="F17" s="67"/>
      <c r="G17" s="64">
        <f t="shared" si="1"/>
        <v>0</v>
      </c>
      <c r="H17" s="64">
        <f t="shared" si="2"/>
        <v>7709.12</v>
      </c>
    </row>
    <row r="18" spans="1:8" x14ac:dyDescent="0.2">
      <c r="A18" s="59"/>
      <c r="B18" s="60"/>
      <c r="C18" s="61"/>
      <c r="D18" s="63"/>
      <c r="E18" s="63">
        <f t="shared" si="0"/>
        <v>7709.12</v>
      </c>
      <c r="F18" s="67"/>
      <c r="G18" s="64">
        <f t="shared" si="1"/>
        <v>0</v>
      </c>
      <c r="H18" s="64">
        <f t="shared" si="2"/>
        <v>7709.12</v>
      </c>
    </row>
    <row r="19" spans="1:8" x14ac:dyDescent="0.2">
      <c r="A19" s="59"/>
      <c r="B19" s="60"/>
      <c r="C19" s="61"/>
      <c r="D19" s="63"/>
      <c r="E19" s="63">
        <f t="shared" si="0"/>
        <v>7709.12</v>
      </c>
      <c r="F19" s="64"/>
      <c r="G19" s="64">
        <f t="shared" si="1"/>
        <v>0</v>
      </c>
      <c r="H19" s="64">
        <f t="shared" si="2"/>
        <v>7709.12</v>
      </c>
    </row>
    <row r="20" spans="1:8" x14ac:dyDescent="0.2">
      <c r="A20" s="59"/>
      <c r="B20" s="60"/>
      <c r="C20" s="61"/>
      <c r="D20" s="63"/>
      <c r="E20" s="63">
        <f t="shared" si="0"/>
        <v>7709.12</v>
      </c>
      <c r="F20" s="64"/>
      <c r="G20" s="64">
        <f t="shared" si="1"/>
        <v>0</v>
      </c>
      <c r="H20" s="64">
        <f t="shared" si="2"/>
        <v>7709.12</v>
      </c>
    </row>
    <row r="21" spans="1:8" x14ac:dyDescent="0.2">
      <c r="A21" s="59"/>
      <c r="B21" s="60"/>
      <c r="C21" s="68"/>
      <c r="D21" s="63"/>
      <c r="E21" s="63">
        <f t="shared" si="0"/>
        <v>7709.12</v>
      </c>
      <c r="F21" s="64"/>
      <c r="G21" s="64">
        <f t="shared" si="1"/>
        <v>0</v>
      </c>
      <c r="H21" s="64">
        <f t="shared" si="2"/>
        <v>7709.12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7709.12</v>
      </c>
      <c r="E23" s="72"/>
      <c r="F23" s="72">
        <f>SUM(F9:F22)</f>
        <v>0</v>
      </c>
      <c r="G23" s="72"/>
      <c r="H23" s="72">
        <f>D23-F23</f>
        <v>7709.12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5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627"/>
  <sheetViews>
    <sheetView zoomScaleNormal="100" workbookViewId="0">
      <selection activeCell="E30" sqref="E30:F3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5703125" style="65" customWidth="1"/>
    <col min="10" max="16384" width="11.42578125" style="65"/>
  </cols>
  <sheetData>
    <row r="1" spans="1:10" s="35" customFormat="1" ht="24.75" customHeight="1" x14ac:dyDescent="0.25">
      <c r="A1" s="2" t="str">
        <f>'RECAP #9447.00'!B1</f>
        <v> DAS TH HVAC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#9447.00'!B2</f>
        <v>Project # 9447.00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#9447.00'!B3</f>
        <v>Program code 944700</v>
      </c>
      <c r="B3" s="5"/>
      <c r="C3" s="5"/>
      <c r="D3" s="4"/>
      <c r="E3" s="8" t="str">
        <f>'RECAP #9447.00'!E3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295</v>
      </c>
      <c r="F6" s="50"/>
      <c r="G6" s="51"/>
      <c r="H6" s="47"/>
      <c r="I6" s="42"/>
    </row>
    <row r="7" spans="1:10" s="35" customFormat="1" ht="15.75" x14ac:dyDescent="0.25">
      <c r="A7" s="13" t="str">
        <f>'RECAP #9447.00'!B6</f>
        <v>Project Manager -James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15000</v>
      </c>
      <c r="F9" s="63">
        <f>E9</f>
        <v>15000</v>
      </c>
      <c r="G9" s="64"/>
      <c r="H9" s="64"/>
      <c r="I9" s="64">
        <f>F9</f>
        <v>15000</v>
      </c>
    </row>
    <row r="10" spans="1:10" x14ac:dyDescent="0.2">
      <c r="A10" s="257" t="s">
        <v>345</v>
      </c>
      <c r="B10" s="275">
        <v>45635</v>
      </c>
      <c r="C10" s="276">
        <v>2507</v>
      </c>
      <c r="D10" s="277" t="s">
        <v>346</v>
      </c>
      <c r="E10" s="63"/>
      <c r="F10" s="63">
        <f t="shared" ref="F10:F21" si="0">F9+E10</f>
        <v>15000</v>
      </c>
      <c r="G10" s="258">
        <f>32.17+58.2</f>
        <v>90.37</v>
      </c>
      <c r="H10" s="64">
        <f t="shared" ref="H10:H21" si="1">H9+G10</f>
        <v>90.37</v>
      </c>
      <c r="I10" s="64">
        <f t="shared" ref="I10:I21" si="2">I9-G10+E10</f>
        <v>14909.63</v>
      </c>
    </row>
    <row r="11" spans="1:10" x14ac:dyDescent="0.2">
      <c r="A11" s="257" t="s">
        <v>345</v>
      </c>
      <c r="B11" s="275">
        <v>45635</v>
      </c>
      <c r="C11" s="276">
        <v>9500</v>
      </c>
      <c r="D11" s="278" t="s">
        <v>347</v>
      </c>
      <c r="E11" s="63"/>
      <c r="F11" s="63">
        <f t="shared" si="0"/>
        <v>15000</v>
      </c>
      <c r="G11" s="258">
        <f>40+557.7</f>
        <v>597.70000000000005</v>
      </c>
      <c r="H11" s="64">
        <f t="shared" si="1"/>
        <v>688.07</v>
      </c>
      <c r="I11" s="64">
        <f t="shared" si="2"/>
        <v>14311.929999999998</v>
      </c>
    </row>
    <row r="12" spans="1:10" x14ac:dyDescent="0.2">
      <c r="A12" s="85"/>
      <c r="B12" s="60"/>
      <c r="C12" s="60"/>
      <c r="D12" s="83"/>
      <c r="E12" s="63"/>
      <c r="F12" s="63">
        <f t="shared" si="0"/>
        <v>15000</v>
      </c>
      <c r="G12" s="258"/>
      <c r="H12" s="64">
        <f t="shared" si="1"/>
        <v>688.07</v>
      </c>
      <c r="I12" s="64">
        <f t="shared" si="2"/>
        <v>14311.929999999998</v>
      </c>
    </row>
    <row r="13" spans="1:10" x14ac:dyDescent="0.2">
      <c r="A13" s="85"/>
      <c r="B13" s="60"/>
      <c r="C13" s="60"/>
      <c r="D13" s="83"/>
      <c r="E13" s="63"/>
      <c r="F13" s="63">
        <f t="shared" si="0"/>
        <v>15000</v>
      </c>
      <c r="G13" s="67"/>
      <c r="H13" s="64">
        <f t="shared" si="1"/>
        <v>688.07</v>
      </c>
      <c r="I13" s="64">
        <f t="shared" si="2"/>
        <v>14311.929999999998</v>
      </c>
    </row>
    <row r="14" spans="1:10" x14ac:dyDescent="0.2">
      <c r="A14" s="85"/>
      <c r="B14" s="60"/>
      <c r="C14" s="60"/>
      <c r="D14" s="83"/>
      <c r="E14" s="63"/>
      <c r="F14" s="63">
        <f t="shared" si="0"/>
        <v>15000</v>
      </c>
      <c r="G14" s="64"/>
      <c r="H14" s="64">
        <f t="shared" si="1"/>
        <v>688.07</v>
      </c>
      <c r="I14" s="64">
        <f t="shared" si="2"/>
        <v>14311.929999999998</v>
      </c>
    </row>
    <row r="15" spans="1:10" x14ac:dyDescent="0.2">
      <c r="A15" s="85"/>
      <c r="B15" s="60"/>
      <c r="C15" s="60"/>
      <c r="D15" s="83"/>
      <c r="E15" s="63"/>
      <c r="F15" s="63">
        <f t="shared" si="0"/>
        <v>15000</v>
      </c>
      <c r="G15" s="67"/>
      <c r="H15" s="64">
        <f t="shared" si="1"/>
        <v>688.07</v>
      </c>
      <c r="I15" s="64">
        <f t="shared" si="2"/>
        <v>14311.929999999998</v>
      </c>
    </row>
    <row r="16" spans="1:10" x14ac:dyDescent="0.2">
      <c r="A16" s="85"/>
      <c r="B16" s="60"/>
      <c r="C16" s="60"/>
      <c r="D16" s="83"/>
      <c r="E16" s="63"/>
      <c r="F16" s="63">
        <f t="shared" si="0"/>
        <v>15000</v>
      </c>
      <c r="G16" s="67"/>
      <c r="H16" s="64">
        <f t="shared" si="1"/>
        <v>688.07</v>
      </c>
      <c r="I16" s="64">
        <f t="shared" si="2"/>
        <v>14311.929999999998</v>
      </c>
    </row>
    <row r="17" spans="1:9" x14ac:dyDescent="0.2">
      <c r="A17" s="85"/>
      <c r="B17" s="60"/>
      <c r="C17" s="60"/>
      <c r="D17" s="83"/>
      <c r="E17" s="63"/>
      <c r="F17" s="63">
        <f t="shared" si="0"/>
        <v>15000</v>
      </c>
      <c r="G17" s="67"/>
      <c r="H17" s="64">
        <f t="shared" si="1"/>
        <v>688.07</v>
      </c>
      <c r="I17" s="64">
        <f t="shared" si="2"/>
        <v>14311.929999999998</v>
      </c>
    </row>
    <row r="18" spans="1:9" x14ac:dyDescent="0.2">
      <c r="A18" s="85"/>
      <c r="B18" s="60"/>
      <c r="C18" s="60"/>
      <c r="D18" s="83"/>
      <c r="E18" s="63"/>
      <c r="F18" s="63">
        <f t="shared" si="0"/>
        <v>15000</v>
      </c>
      <c r="G18" s="67"/>
      <c r="H18" s="64">
        <f t="shared" si="1"/>
        <v>688.07</v>
      </c>
      <c r="I18" s="64">
        <f t="shared" si="2"/>
        <v>14311.929999999998</v>
      </c>
    </row>
    <row r="19" spans="1:9" x14ac:dyDescent="0.2">
      <c r="A19" s="82"/>
      <c r="B19" s="60"/>
      <c r="C19" s="60"/>
      <c r="D19" s="83"/>
      <c r="E19" s="63"/>
      <c r="F19" s="63">
        <f t="shared" si="0"/>
        <v>15000</v>
      </c>
      <c r="G19" s="64"/>
      <c r="H19" s="64">
        <f t="shared" si="1"/>
        <v>688.07</v>
      </c>
      <c r="I19" s="64">
        <f t="shared" si="2"/>
        <v>14311.929999999998</v>
      </c>
    </row>
    <row r="20" spans="1:9" x14ac:dyDescent="0.2">
      <c r="A20" s="82"/>
      <c r="B20" s="60"/>
      <c r="C20" s="60"/>
      <c r="D20" s="83"/>
      <c r="E20" s="63"/>
      <c r="F20" s="63">
        <f t="shared" si="0"/>
        <v>15000</v>
      </c>
      <c r="G20" s="64"/>
      <c r="H20" s="64">
        <f t="shared" si="1"/>
        <v>688.07</v>
      </c>
      <c r="I20" s="64">
        <f t="shared" si="2"/>
        <v>14311.929999999998</v>
      </c>
    </row>
    <row r="21" spans="1:9" x14ac:dyDescent="0.2">
      <c r="A21" s="82"/>
      <c r="B21" s="60"/>
      <c r="C21" s="60"/>
      <c r="D21" s="86"/>
      <c r="E21" s="63"/>
      <c r="F21" s="63">
        <f t="shared" si="0"/>
        <v>15000</v>
      </c>
      <c r="G21" s="64"/>
      <c r="H21" s="64">
        <f t="shared" si="1"/>
        <v>688.07</v>
      </c>
      <c r="I21" s="64">
        <f t="shared" si="2"/>
        <v>14311.929999999998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15000</v>
      </c>
      <c r="F23" s="72"/>
      <c r="G23" s="72">
        <f>SUM(G9:G22)</f>
        <v>688.07</v>
      </c>
      <c r="H23" s="72"/>
      <c r="I23" s="72">
        <f>E23-G23</f>
        <v>14311.93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#9447.00'!B1</f>
        <v> DAS TH HVAC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#9447.00'!B2</f>
        <v>Project # 9447.00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#9447.00'!B3</f>
        <v>Program code 944700</v>
      </c>
      <c r="E3" s="8" t="str">
        <f>'RECAP #9447.00'!E3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344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#9447.00'!B6</f>
        <v>Project Manager -James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1C8B-BB70-4A1D-862D-ED13C9F305D0}"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#9447.00'!B1</f>
        <v> DAS TH HVAC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#9447.00'!B2</f>
        <v>Project # 9447.00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#9447.00'!B3</f>
        <v>Program code 944700</v>
      </c>
      <c r="B3" s="5"/>
      <c r="C3" s="4"/>
      <c r="D3" s="8" t="str">
        <f>'RECAP #9447.00'!E3</f>
        <v>Major Program 4D04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382</v>
      </c>
      <c r="E5" s="45"/>
      <c r="F5" s="46"/>
      <c r="G5" s="47"/>
      <c r="H5" s="42"/>
    </row>
    <row r="6" spans="1:9" s="35" customFormat="1" ht="15.75" x14ac:dyDescent="0.25">
      <c r="A6" s="13" t="str">
        <f>'RECAP #9447.00'!B6</f>
        <v>Project Manager -James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383</v>
      </c>
      <c r="B9" s="60">
        <v>45653</v>
      </c>
      <c r="C9" s="61" t="s">
        <v>167</v>
      </c>
      <c r="D9" s="247">
        <v>12060</v>
      </c>
      <c r="E9" s="63">
        <f>D9</f>
        <v>12060</v>
      </c>
      <c r="F9" s="64"/>
      <c r="G9" s="64"/>
      <c r="H9" s="64">
        <f>E9</f>
        <v>12060</v>
      </c>
    </row>
    <row r="10" spans="1:9" x14ac:dyDescent="0.2">
      <c r="A10" s="59"/>
      <c r="B10" s="66"/>
      <c r="C10" s="61"/>
      <c r="D10" s="63"/>
      <c r="E10" s="63">
        <f t="shared" ref="E10:E21" si="0">E9+D10</f>
        <v>12060</v>
      </c>
      <c r="F10" s="67"/>
      <c r="G10" s="64">
        <f t="shared" ref="G10:G21" si="1">G9+F10</f>
        <v>0</v>
      </c>
      <c r="H10" s="64">
        <f t="shared" ref="H10:H21" si="2">H9-F10+D10</f>
        <v>12060</v>
      </c>
    </row>
    <row r="11" spans="1:9" x14ac:dyDescent="0.2">
      <c r="A11" s="59"/>
      <c r="B11" s="60"/>
      <c r="C11" s="61"/>
      <c r="D11" s="63"/>
      <c r="E11" s="63">
        <f t="shared" si="0"/>
        <v>12060</v>
      </c>
      <c r="F11" s="67"/>
      <c r="G11" s="64">
        <f t="shared" si="1"/>
        <v>0</v>
      </c>
      <c r="H11" s="64">
        <f t="shared" si="2"/>
        <v>12060</v>
      </c>
    </row>
    <row r="12" spans="1:9" x14ac:dyDescent="0.2">
      <c r="A12" s="59"/>
      <c r="B12" s="60"/>
      <c r="C12" s="61"/>
      <c r="D12" s="63"/>
      <c r="E12" s="63">
        <f t="shared" si="0"/>
        <v>12060</v>
      </c>
      <c r="F12" s="67"/>
      <c r="G12" s="64">
        <f t="shared" si="1"/>
        <v>0</v>
      </c>
      <c r="H12" s="64">
        <f t="shared" si="2"/>
        <v>12060</v>
      </c>
    </row>
    <row r="13" spans="1:9" x14ac:dyDescent="0.2">
      <c r="A13" s="59"/>
      <c r="B13" s="60"/>
      <c r="C13" s="61"/>
      <c r="D13" s="63"/>
      <c r="E13" s="63">
        <f t="shared" si="0"/>
        <v>12060</v>
      </c>
      <c r="F13" s="67"/>
      <c r="G13" s="64">
        <f t="shared" si="1"/>
        <v>0</v>
      </c>
      <c r="H13" s="64">
        <f t="shared" si="2"/>
        <v>12060</v>
      </c>
    </row>
    <row r="14" spans="1:9" x14ac:dyDescent="0.2">
      <c r="A14" s="59"/>
      <c r="B14" s="60"/>
      <c r="C14" s="61"/>
      <c r="D14" s="63"/>
      <c r="E14" s="63">
        <f t="shared" si="0"/>
        <v>12060</v>
      </c>
      <c r="F14" s="64"/>
      <c r="G14" s="64">
        <f t="shared" si="1"/>
        <v>0</v>
      </c>
      <c r="H14" s="64">
        <f t="shared" si="2"/>
        <v>12060</v>
      </c>
    </row>
    <row r="15" spans="1:9" x14ac:dyDescent="0.2">
      <c r="A15" s="59"/>
      <c r="B15" s="60"/>
      <c r="C15" s="61"/>
      <c r="D15" s="63"/>
      <c r="E15" s="63">
        <f t="shared" si="0"/>
        <v>12060</v>
      </c>
      <c r="F15" s="67"/>
      <c r="G15" s="64">
        <f t="shared" si="1"/>
        <v>0</v>
      </c>
      <c r="H15" s="64">
        <f t="shared" si="2"/>
        <v>12060</v>
      </c>
    </row>
    <row r="16" spans="1:9" x14ac:dyDescent="0.2">
      <c r="A16" s="59"/>
      <c r="B16" s="60"/>
      <c r="C16" s="61"/>
      <c r="D16" s="63"/>
      <c r="E16" s="63">
        <f t="shared" si="0"/>
        <v>12060</v>
      </c>
      <c r="F16" s="67"/>
      <c r="G16" s="64">
        <f t="shared" si="1"/>
        <v>0</v>
      </c>
      <c r="H16" s="64">
        <f t="shared" si="2"/>
        <v>12060</v>
      </c>
    </row>
    <row r="17" spans="1:8" x14ac:dyDescent="0.2">
      <c r="A17" s="59"/>
      <c r="B17" s="60"/>
      <c r="C17" s="61"/>
      <c r="D17" s="63"/>
      <c r="E17" s="63">
        <f t="shared" si="0"/>
        <v>12060</v>
      </c>
      <c r="F17" s="67"/>
      <c r="G17" s="64">
        <f t="shared" si="1"/>
        <v>0</v>
      </c>
      <c r="H17" s="64">
        <f t="shared" si="2"/>
        <v>12060</v>
      </c>
    </row>
    <row r="18" spans="1:8" x14ac:dyDescent="0.2">
      <c r="A18" s="59"/>
      <c r="B18" s="60"/>
      <c r="C18" s="61"/>
      <c r="D18" s="63"/>
      <c r="E18" s="63">
        <f t="shared" si="0"/>
        <v>12060</v>
      </c>
      <c r="F18" s="67"/>
      <c r="G18" s="64">
        <f t="shared" si="1"/>
        <v>0</v>
      </c>
      <c r="H18" s="64">
        <f t="shared" si="2"/>
        <v>12060</v>
      </c>
    </row>
    <row r="19" spans="1:8" x14ac:dyDescent="0.2">
      <c r="A19" s="59"/>
      <c r="B19" s="60"/>
      <c r="C19" s="61"/>
      <c r="D19" s="63"/>
      <c r="E19" s="63">
        <f t="shared" si="0"/>
        <v>12060</v>
      </c>
      <c r="F19" s="64"/>
      <c r="G19" s="64">
        <f t="shared" si="1"/>
        <v>0</v>
      </c>
      <c r="H19" s="64">
        <f t="shared" si="2"/>
        <v>12060</v>
      </c>
    </row>
    <row r="20" spans="1:8" x14ac:dyDescent="0.2">
      <c r="A20" s="59"/>
      <c r="B20" s="60"/>
      <c r="C20" s="61"/>
      <c r="D20" s="63"/>
      <c r="E20" s="63">
        <f t="shared" si="0"/>
        <v>12060</v>
      </c>
      <c r="F20" s="64"/>
      <c r="G20" s="64">
        <f t="shared" si="1"/>
        <v>0</v>
      </c>
      <c r="H20" s="64">
        <f t="shared" si="2"/>
        <v>12060</v>
      </c>
    </row>
    <row r="21" spans="1:8" x14ac:dyDescent="0.2">
      <c r="A21" s="59"/>
      <c r="B21" s="60"/>
      <c r="C21" s="68"/>
      <c r="D21" s="63"/>
      <c r="E21" s="63">
        <f t="shared" si="0"/>
        <v>12060</v>
      </c>
      <c r="F21" s="64"/>
      <c r="G21" s="64">
        <f t="shared" si="1"/>
        <v>0</v>
      </c>
      <c r="H21" s="64">
        <f t="shared" si="2"/>
        <v>12060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12060</v>
      </c>
      <c r="E23" s="72"/>
      <c r="F23" s="72">
        <f>SUM(F9:F22)</f>
        <v>0</v>
      </c>
      <c r="G23" s="72"/>
      <c r="H23" s="72">
        <f>D23-F23</f>
        <v>12060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4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5"/>
  <sheetViews>
    <sheetView zoomScaleNormal="100" workbookViewId="0">
      <selection activeCell="G29" sqref="G2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282</v>
      </c>
      <c r="C1" s="3"/>
    </row>
    <row r="2" spans="1:8" ht="15.75" x14ac:dyDescent="0.25">
      <c r="B2" s="6" t="s">
        <v>283</v>
      </c>
    </row>
    <row r="3" spans="1:8" ht="15.75" x14ac:dyDescent="0.25">
      <c r="B3" s="7" t="s">
        <v>284</v>
      </c>
      <c r="E3" s="8" t="s">
        <v>281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285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FINANCIAL!G24</f>
        <v>970000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265</v>
      </c>
      <c r="C10" s="26"/>
      <c r="D10" s="24">
        <f>'#9448.00 DCI Group'!D23</f>
        <v>10665.48</v>
      </c>
      <c r="E10" s="24">
        <f>'#9448.00 DCI Group'!F23</f>
        <v>0</v>
      </c>
      <c r="F10" s="24">
        <f>'#9448.00 DCI Group'!H23</f>
        <v>10665.48</v>
      </c>
      <c r="G10" s="25"/>
      <c r="H10" s="17"/>
    </row>
    <row r="11" spans="1:8" x14ac:dyDescent="0.2">
      <c r="B11" s="5" t="s">
        <v>14</v>
      </c>
      <c r="C11" s="26"/>
      <c r="D11" s="24">
        <f>'#9448.00 PM TIME'!E23</f>
        <v>30000</v>
      </c>
      <c r="E11" s="24">
        <f>'#9448.00 PM TIME'!G23</f>
        <v>688.07</v>
      </c>
      <c r="F11" s="24">
        <f>'#9448.00 PM TIME'!I23</f>
        <v>29311.93</v>
      </c>
      <c r="G11" s="25"/>
      <c r="H11" s="17"/>
    </row>
    <row r="12" spans="1:8" x14ac:dyDescent="0.2">
      <c r="B12" s="5" t="s">
        <v>15</v>
      </c>
      <c r="C12" s="27"/>
      <c r="D12" s="28">
        <f>'#9448.00 Misc '!G22</f>
        <v>0</v>
      </c>
      <c r="E12" s="28">
        <f>'#9448.00 Misc '!G22</f>
        <v>0</v>
      </c>
      <c r="F12" s="24">
        <f>D12-E12</f>
        <v>0</v>
      </c>
      <c r="G12" s="25"/>
      <c r="H12" s="17"/>
    </row>
    <row r="13" spans="1:8" x14ac:dyDescent="0.2">
      <c r="B13" s="5" t="s">
        <v>303</v>
      </c>
      <c r="C13" s="27"/>
      <c r="D13" s="28">
        <f>'#9448.00 OPN Architects'!D23</f>
        <v>23255</v>
      </c>
      <c r="E13" s="28">
        <f>'#9448.00 OPN Architects'!F23</f>
        <v>0</v>
      </c>
      <c r="F13" s="24">
        <f>'#9448.00 OPN Architects'!H23</f>
        <v>23255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970000</v>
      </c>
      <c r="D15" s="32">
        <f>SUM(D8:D14)</f>
        <v>63920.479999999996</v>
      </c>
      <c r="E15" s="32">
        <f>SUM(E8:E14)</f>
        <v>688.07</v>
      </c>
      <c r="F15" s="32">
        <f>SUM(D15-E15)</f>
        <v>63232.409999999996</v>
      </c>
      <c r="G15" s="32">
        <f>C15-D15</f>
        <v>906079.52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627"/>
  <sheetViews>
    <sheetView zoomScaleNormal="100" workbookViewId="0">
      <selection activeCell="C14" sqref="C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140625" style="65" customWidth="1"/>
    <col min="9" max="16384" width="11.42578125" style="65"/>
  </cols>
  <sheetData>
    <row r="1" spans="1:9" s="35" customFormat="1" ht="24.75" customHeight="1" x14ac:dyDescent="0.25">
      <c r="A1" s="2" t="str">
        <f>'RECAP #9448.00'!B1</f>
        <v>DAS TH Residence Roof, Porch, &amp; South Garden Wall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#9448.00'!B2</f>
        <v>Project # 9448.00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#9448.00'!B3</f>
        <v>Program code 944800</v>
      </c>
      <c r="B3" s="5"/>
      <c r="C3" s="4"/>
      <c r="D3" s="8" t="str">
        <f>'RECAP #9448.00'!E3</f>
        <v>Major Program 4D04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#9448.00'!B6</f>
        <v>Project Manager - James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355</v>
      </c>
      <c r="B9" s="60">
        <v>45642</v>
      </c>
      <c r="C9" s="61" t="s">
        <v>167</v>
      </c>
      <c r="D9" s="247">
        <v>10665.48</v>
      </c>
      <c r="E9" s="63">
        <f>D9</f>
        <v>10665.48</v>
      </c>
      <c r="F9" s="64"/>
      <c r="G9" s="64"/>
      <c r="H9" s="64">
        <f>E9</f>
        <v>10665.48</v>
      </c>
    </row>
    <row r="10" spans="1:9" x14ac:dyDescent="0.2">
      <c r="A10" s="59"/>
      <c r="B10" s="66"/>
      <c r="C10" s="61"/>
      <c r="D10" s="63"/>
      <c r="E10" s="63">
        <f t="shared" ref="E10:E21" si="0">E9+D10</f>
        <v>10665.48</v>
      </c>
      <c r="F10" s="67"/>
      <c r="G10" s="64">
        <f t="shared" ref="G10:G21" si="1">G9+F10</f>
        <v>0</v>
      </c>
      <c r="H10" s="64">
        <f t="shared" ref="H10:H21" si="2">H9-F10+D10</f>
        <v>10665.48</v>
      </c>
    </row>
    <row r="11" spans="1:9" x14ac:dyDescent="0.2">
      <c r="A11" s="59"/>
      <c r="B11" s="60"/>
      <c r="C11" s="61"/>
      <c r="D11" s="63"/>
      <c r="E11" s="63">
        <f t="shared" si="0"/>
        <v>10665.48</v>
      </c>
      <c r="F11" s="67"/>
      <c r="G11" s="64">
        <f t="shared" si="1"/>
        <v>0</v>
      </c>
      <c r="H11" s="64">
        <f t="shared" si="2"/>
        <v>10665.48</v>
      </c>
    </row>
    <row r="12" spans="1:9" x14ac:dyDescent="0.2">
      <c r="A12" s="59"/>
      <c r="B12" s="60"/>
      <c r="C12" s="61"/>
      <c r="D12" s="63"/>
      <c r="E12" s="63">
        <f t="shared" si="0"/>
        <v>10665.48</v>
      </c>
      <c r="F12" s="67"/>
      <c r="G12" s="64">
        <f t="shared" si="1"/>
        <v>0</v>
      </c>
      <c r="H12" s="64">
        <f t="shared" si="2"/>
        <v>10665.48</v>
      </c>
    </row>
    <row r="13" spans="1:9" x14ac:dyDescent="0.2">
      <c r="A13" s="59"/>
      <c r="B13" s="60"/>
      <c r="C13" s="61"/>
      <c r="D13" s="63"/>
      <c r="E13" s="63">
        <f t="shared" si="0"/>
        <v>10665.48</v>
      </c>
      <c r="F13" s="67"/>
      <c r="G13" s="64">
        <f t="shared" si="1"/>
        <v>0</v>
      </c>
      <c r="H13" s="64">
        <f t="shared" si="2"/>
        <v>10665.48</v>
      </c>
    </row>
    <row r="14" spans="1:9" x14ac:dyDescent="0.2">
      <c r="A14" s="59"/>
      <c r="B14" s="60"/>
      <c r="C14" s="61"/>
      <c r="D14" s="63"/>
      <c r="E14" s="63">
        <f t="shared" si="0"/>
        <v>10665.48</v>
      </c>
      <c r="F14" s="64"/>
      <c r="G14" s="64">
        <f t="shared" si="1"/>
        <v>0</v>
      </c>
      <c r="H14" s="64">
        <f t="shared" si="2"/>
        <v>10665.48</v>
      </c>
    </row>
    <row r="15" spans="1:9" x14ac:dyDescent="0.2">
      <c r="A15" s="59"/>
      <c r="B15" s="60"/>
      <c r="C15" s="61"/>
      <c r="D15" s="63"/>
      <c r="E15" s="63">
        <f t="shared" si="0"/>
        <v>10665.48</v>
      </c>
      <c r="F15" s="67"/>
      <c r="G15" s="64">
        <f t="shared" si="1"/>
        <v>0</v>
      </c>
      <c r="H15" s="64">
        <f t="shared" si="2"/>
        <v>10665.48</v>
      </c>
    </row>
    <row r="16" spans="1:9" x14ac:dyDescent="0.2">
      <c r="A16" s="59"/>
      <c r="B16" s="60"/>
      <c r="C16" s="61"/>
      <c r="D16" s="63"/>
      <c r="E16" s="63">
        <f t="shared" si="0"/>
        <v>10665.48</v>
      </c>
      <c r="F16" s="67"/>
      <c r="G16" s="64">
        <f t="shared" si="1"/>
        <v>0</v>
      </c>
      <c r="H16" s="64">
        <f t="shared" si="2"/>
        <v>10665.48</v>
      </c>
    </row>
    <row r="17" spans="1:8" x14ac:dyDescent="0.2">
      <c r="A17" s="59"/>
      <c r="B17" s="60"/>
      <c r="C17" s="61"/>
      <c r="D17" s="63"/>
      <c r="E17" s="63">
        <f t="shared" si="0"/>
        <v>10665.48</v>
      </c>
      <c r="F17" s="67"/>
      <c r="G17" s="64">
        <f t="shared" si="1"/>
        <v>0</v>
      </c>
      <c r="H17" s="64">
        <f t="shared" si="2"/>
        <v>10665.48</v>
      </c>
    </row>
    <row r="18" spans="1:8" x14ac:dyDescent="0.2">
      <c r="A18" s="59"/>
      <c r="B18" s="60"/>
      <c r="C18" s="61"/>
      <c r="D18" s="63"/>
      <c r="E18" s="63">
        <f t="shared" si="0"/>
        <v>10665.48</v>
      </c>
      <c r="F18" s="67"/>
      <c r="G18" s="64">
        <f t="shared" si="1"/>
        <v>0</v>
      </c>
      <c r="H18" s="64">
        <f t="shared" si="2"/>
        <v>10665.48</v>
      </c>
    </row>
    <row r="19" spans="1:8" x14ac:dyDescent="0.2">
      <c r="A19" s="59"/>
      <c r="B19" s="60"/>
      <c r="C19" s="61"/>
      <c r="D19" s="63"/>
      <c r="E19" s="63">
        <f t="shared" si="0"/>
        <v>10665.48</v>
      </c>
      <c r="F19" s="64"/>
      <c r="G19" s="64">
        <f t="shared" si="1"/>
        <v>0</v>
      </c>
      <c r="H19" s="64">
        <f t="shared" si="2"/>
        <v>10665.48</v>
      </c>
    </row>
    <row r="20" spans="1:8" x14ac:dyDescent="0.2">
      <c r="A20" s="59"/>
      <c r="B20" s="60"/>
      <c r="C20" s="61"/>
      <c r="D20" s="63"/>
      <c r="E20" s="63">
        <f t="shared" si="0"/>
        <v>10665.48</v>
      </c>
      <c r="F20" s="64"/>
      <c r="G20" s="64">
        <f t="shared" si="1"/>
        <v>0</v>
      </c>
      <c r="H20" s="64">
        <f t="shared" si="2"/>
        <v>10665.48</v>
      </c>
    </row>
    <row r="21" spans="1:8" x14ac:dyDescent="0.2">
      <c r="A21" s="59"/>
      <c r="B21" s="60"/>
      <c r="C21" s="68"/>
      <c r="D21" s="63"/>
      <c r="E21" s="63">
        <f t="shared" si="0"/>
        <v>10665.48</v>
      </c>
      <c r="F21" s="64"/>
      <c r="G21" s="64">
        <f t="shared" si="1"/>
        <v>0</v>
      </c>
      <c r="H21" s="64">
        <f t="shared" si="2"/>
        <v>10665.48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10665.48</v>
      </c>
      <c r="E23" s="72"/>
      <c r="F23" s="72">
        <f>SUM(F9:F22)</f>
        <v>0</v>
      </c>
      <c r="G23" s="72"/>
      <c r="H23" s="72">
        <f>D23-F23</f>
        <v>10665.48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10665.48</v>
      </c>
      <c r="E26" s="252"/>
      <c r="F26" s="252"/>
      <c r="G26" s="252"/>
      <c r="H26" s="252">
        <f>D26-F26</f>
        <v>10665.48</v>
      </c>
    </row>
    <row r="27" spans="1:8" x14ac:dyDescent="0.2">
      <c r="A27" s="73"/>
      <c r="B27" s="61"/>
      <c r="C27" s="251" t="s">
        <v>173</v>
      </c>
      <c r="D27" s="252">
        <v>0</v>
      </c>
      <c r="E27" s="252"/>
      <c r="F27" s="252"/>
      <c r="G27" s="252"/>
      <c r="H27" s="252">
        <f>D27-F27</f>
        <v>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10665.48</v>
      </c>
      <c r="E28" s="255"/>
      <c r="F28" s="254">
        <f>SUM(F26:F27)</f>
        <v>0</v>
      </c>
      <c r="G28" s="255"/>
      <c r="H28" s="254">
        <f>SUM(H26:H27)</f>
        <v>10665.48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3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627"/>
  <sheetViews>
    <sheetView zoomScaleNormal="100" workbookViewId="0">
      <selection activeCell="G11" sqref="G1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#9448.00'!B1</f>
        <v>DAS TH Residence Roof, Porch, &amp; South Garden Wall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#9448.00'!B2</f>
        <v>Project # 9448.00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#9448.00'!B3</f>
        <v>Program code 944800</v>
      </c>
      <c r="B3" s="5"/>
      <c r="C3" s="5"/>
      <c r="D3" s="4"/>
      <c r="E3" s="8" t="str">
        <f>'RECAP #9448.00'!E3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296</v>
      </c>
      <c r="F6" s="50"/>
      <c r="G6" s="51"/>
      <c r="H6" s="47"/>
      <c r="I6" s="42"/>
    </row>
    <row r="7" spans="1:10" s="35" customFormat="1" ht="15.75" x14ac:dyDescent="0.25">
      <c r="A7" s="13" t="str">
        <f>'RECAP #9448.00'!B6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30000</v>
      </c>
      <c r="F9" s="63">
        <f>E9</f>
        <v>30000</v>
      </c>
      <c r="G9" s="64"/>
      <c r="H9" s="64"/>
      <c r="I9" s="64">
        <f>F9</f>
        <v>30000</v>
      </c>
    </row>
    <row r="10" spans="1:10" x14ac:dyDescent="0.2">
      <c r="A10" s="257" t="s">
        <v>345</v>
      </c>
      <c r="B10" s="275">
        <v>45635</v>
      </c>
      <c r="C10" s="276">
        <v>2507</v>
      </c>
      <c r="D10" s="277" t="s">
        <v>346</v>
      </c>
      <c r="E10" s="63"/>
      <c r="F10" s="63">
        <f t="shared" ref="F10:F21" si="0">F9+E10</f>
        <v>30000</v>
      </c>
      <c r="G10" s="258">
        <f>32.17+58.2</f>
        <v>90.37</v>
      </c>
      <c r="H10" s="64">
        <f t="shared" ref="H10:H21" si="1">H9+G10</f>
        <v>90.37</v>
      </c>
      <c r="I10" s="64">
        <f t="shared" ref="I10:I21" si="2">I9-G10+E10</f>
        <v>29909.63</v>
      </c>
    </row>
    <row r="11" spans="1:10" x14ac:dyDescent="0.2">
      <c r="A11" s="257" t="s">
        <v>345</v>
      </c>
      <c r="B11" s="275">
        <v>45635</v>
      </c>
      <c r="C11" s="276">
        <v>9500</v>
      </c>
      <c r="D11" s="278" t="s">
        <v>347</v>
      </c>
      <c r="E11" s="63"/>
      <c r="F11" s="63">
        <f t="shared" si="0"/>
        <v>30000</v>
      </c>
      <c r="G11" s="258">
        <f>40+557.7</f>
        <v>597.70000000000005</v>
      </c>
      <c r="H11" s="64">
        <f t="shared" si="1"/>
        <v>688.07</v>
      </c>
      <c r="I11" s="64">
        <f t="shared" si="2"/>
        <v>29311.93</v>
      </c>
    </row>
    <row r="12" spans="1:10" x14ac:dyDescent="0.2">
      <c r="A12" s="85"/>
      <c r="B12" s="60"/>
      <c r="C12" s="60"/>
      <c r="D12" s="83"/>
      <c r="E12" s="63"/>
      <c r="F12" s="63">
        <f t="shared" si="0"/>
        <v>30000</v>
      </c>
      <c r="G12" s="67"/>
      <c r="H12" s="64">
        <f t="shared" si="1"/>
        <v>688.07</v>
      </c>
      <c r="I12" s="64">
        <f t="shared" si="2"/>
        <v>29311.93</v>
      </c>
    </row>
    <row r="13" spans="1:10" x14ac:dyDescent="0.2">
      <c r="A13" s="85"/>
      <c r="B13" s="60"/>
      <c r="C13" s="60"/>
      <c r="D13" s="83"/>
      <c r="E13" s="63"/>
      <c r="F13" s="63">
        <f t="shared" si="0"/>
        <v>30000</v>
      </c>
      <c r="G13" s="67"/>
      <c r="H13" s="64">
        <f t="shared" si="1"/>
        <v>688.07</v>
      </c>
      <c r="I13" s="64">
        <f t="shared" si="2"/>
        <v>29311.93</v>
      </c>
    </row>
    <row r="14" spans="1:10" x14ac:dyDescent="0.2">
      <c r="A14" s="85"/>
      <c r="B14" s="60"/>
      <c r="C14" s="60"/>
      <c r="D14" s="83"/>
      <c r="E14" s="63"/>
      <c r="F14" s="63">
        <f t="shared" si="0"/>
        <v>30000</v>
      </c>
      <c r="G14" s="64"/>
      <c r="H14" s="64">
        <f t="shared" si="1"/>
        <v>688.07</v>
      </c>
      <c r="I14" s="64">
        <f t="shared" si="2"/>
        <v>29311.93</v>
      </c>
    </row>
    <row r="15" spans="1:10" x14ac:dyDescent="0.2">
      <c r="A15" s="85"/>
      <c r="B15" s="60"/>
      <c r="C15" s="60"/>
      <c r="D15" s="83"/>
      <c r="E15" s="63"/>
      <c r="F15" s="63">
        <f t="shared" si="0"/>
        <v>30000</v>
      </c>
      <c r="G15" s="67"/>
      <c r="H15" s="64">
        <f t="shared" si="1"/>
        <v>688.07</v>
      </c>
      <c r="I15" s="64">
        <f t="shared" si="2"/>
        <v>29311.93</v>
      </c>
    </row>
    <row r="16" spans="1:10" x14ac:dyDescent="0.2">
      <c r="A16" s="85"/>
      <c r="B16" s="60"/>
      <c r="C16" s="60"/>
      <c r="D16" s="83"/>
      <c r="E16" s="63"/>
      <c r="F16" s="63">
        <f t="shared" si="0"/>
        <v>30000</v>
      </c>
      <c r="G16" s="67"/>
      <c r="H16" s="64">
        <f t="shared" si="1"/>
        <v>688.07</v>
      </c>
      <c r="I16" s="64">
        <f t="shared" si="2"/>
        <v>29311.93</v>
      </c>
    </row>
    <row r="17" spans="1:9" x14ac:dyDescent="0.2">
      <c r="A17" s="85"/>
      <c r="B17" s="60"/>
      <c r="C17" s="60"/>
      <c r="D17" s="83"/>
      <c r="E17" s="63"/>
      <c r="F17" s="63">
        <f t="shared" si="0"/>
        <v>30000</v>
      </c>
      <c r="G17" s="67"/>
      <c r="H17" s="64">
        <f t="shared" si="1"/>
        <v>688.07</v>
      </c>
      <c r="I17" s="64">
        <f t="shared" si="2"/>
        <v>29311.93</v>
      </c>
    </row>
    <row r="18" spans="1:9" x14ac:dyDescent="0.2">
      <c r="A18" s="85"/>
      <c r="B18" s="60"/>
      <c r="C18" s="60"/>
      <c r="D18" s="83"/>
      <c r="E18" s="63"/>
      <c r="F18" s="63">
        <f t="shared" si="0"/>
        <v>30000</v>
      </c>
      <c r="G18" s="67"/>
      <c r="H18" s="64">
        <f t="shared" si="1"/>
        <v>688.07</v>
      </c>
      <c r="I18" s="64">
        <f t="shared" si="2"/>
        <v>29311.93</v>
      </c>
    </row>
    <row r="19" spans="1:9" x14ac:dyDescent="0.2">
      <c r="A19" s="82"/>
      <c r="B19" s="60"/>
      <c r="C19" s="60"/>
      <c r="D19" s="83"/>
      <c r="E19" s="63"/>
      <c r="F19" s="63">
        <f t="shared" si="0"/>
        <v>30000</v>
      </c>
      <c r="G19" s="64"/>
      <c r="H19" s="64">
        <f t="shared" si="1"/>
        <v>688.07</v>
      </c>
      <c r="I19" s="64">
        <f t="shared" si="2"/>
        <v>29311.93</v>
      </c>
    </row>
    <row r="20" spans="1:9" x14ac:dyDescent="0.2">
      <c r="A20" s="82"/>
      <c r="B20" s="60"/>
      <c r="C20" s="60"/>
      <c r="D20" s="83"/>
      <c r="E20" s="63"/>
      <c r="F20" s="63">
        <f t="shared" si="0"/>
        <v>30000</v>
      </c>
      <c r="G20" s="64"/>
      <c r="H20" s="64">
        <f t="shared" si="1"/>
        <v>688.07</v>
      </c>
      <c r="I20" s="64">
        <f t="shared" si="2"/>
        <v>29311.93</v>
      </c>
    </row>
    <row r="21" spans="1:9" x14ac:dyDescent="0.2">
      <c r="A21" s="82"/>
      <c r="B21" s="60"/>
      <c r="C21" s="60"/>
      <c r="D21" s="86"/>
      <c r="E21" s="63"/>
      <c r="F21" s="63">
        <f t="shared" si="0"/>
        <v>30000</v>
      </c>
      <c r="G21" s="64"/>
      <c r="H21" s="64">
        <f t="shared" si="1"/>
        <v>688.07</v>
      </c>
      <c r="I21" s="64">
        <f t="shared" si="2"/>
        <v>29311.93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30000</v>
      </c>
      <c r="F23" s="72"/>
      <c r="G23" s="72">
        <f>SUM(G9:G22)</f>
        <v>688.07</v>
      </c>
      <c r="H23" s="72"/>
      <c r="I23" s="72">
        <f>E23-G23</f>
        <v>29311.93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#9448.00'!B1</f>
        <v>DAS TH Residence Roof, Porch, &amp; South Garden Wall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#9448.00'!B2</f>
        <v>Project # 9448.00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#9448.00'!B3</f>
        <v>Program code 944800</v>
      </c>
      <c r="E3" s="8" t="str">
        <f>'RECAP #9448.00'!E3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356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#9448.00'!B6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9140-DDC9-44C2-B897-22DD996F049F}"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140625" style="65" customWidth="1"/>
    <col min="9" max="16384" width="11.42578125" style="65"/>
  </cols>
  <sheetData>
    <row r="1" spans="1:9" s="35" customFormat="1" ht="24.75" customHeight="1" x14ac:dyDescent="0.25">
      <c r="A1" s="2" t="str">
        <f>'RECAP #9448.00'!B1</f>
        <v>DAS TH Residence Roof, Porch, &amp; South Garden Wall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#9448.00'!B2</f>
        <v>Project # 9448.00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#9448.00'!B3</f>
        <v>Program code 944800</v>
      </c>
      <c r="B3" s="5"/>
      <c r="C3" s="4"/>
      <c r="D3" s="8" t="str">
        <f>'RECAP #9448.00'!E3</f>
        <v>Major Program 4D04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382</v>
      </c>
      <c r="E5" s="45"/>
      <c r="F5" s="46"/>
      <c r="G5" s="47"/>
      <c r="H5" s="42"/>
    </row>
    <row r="6" spans="1:9" s="35" customFormat="1" ht="15.75" x14ac:dyDescent="0.25">
      <c r="A6" s="13" t="str">
        <f>'RECAP #9448.00'!B6</f>
        <v>Project Manager - James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381</v>
      </c>
      <c r="B9" s="60">
        <v>45653</v>
      </c>
      <c r="C9" s="61" t="s">
        <v>167</v>
      </c>
      <c r="D9" s="247">
        <v>23255</v>
      </c>
      <c r="E9" s="63">
        <f>D9</f>
        <v>23255</v>
      </c>
      <c r="F9" s="64"/>
      <c r="G9" s="64"/>
      <c r="H9" s="64">
        <f>E9</f>
        <v>23255</v>
      </c>
    </row>
    <row r="10" spans="1:9" x14ac:dyDescent="0.2">
      <c r="A10" s="59"/>
      <c r="B10" s="66"/>
      <c r="C10" s="61"/>
      <c r="D10" s="63"/>
      <c r="E10" s="63">
        <f t="shared" ref="E10:E21" si="0">E9+D10</f>
        <v>23255</v>
      </c>
      <c r="F10" s="67"/>
      <c r="G10" s="64">
        <f t="shared" ref="G10:G21" si="1">G9+F10</f>
        <v>0</v>
      </c>
      <c r="H10" s="64">
        <f t="shared" ref="H10:H21" si="2">H9-F10+D10</f>
        <v>23255</v>
      </c>
    </row>
    <row r="11" spans="1:9" x14ac:dyDescent="0.2">
      <c r="A11" s="59"/>
      <c r="B11" s="60"/>
      <c r="C11" s="61"/>
      <c r="D11" s="63"/>
      <c r="E11" s="63">
        <f t="shared" si="0"/>
        <v>23255</v>
      </c>
      <c r="F11" s="67"/>
      <c r="G11" s="64">
        <f t="shared" si="1"/>
        <v>0</v>
      </c>
      <c r="H11" s="64">
        <f t="shared" si="2"/>
        <v>23255</v>
      </c>
    </row>
    <row r="12" spans="1:9" x14ac:dyDescent="0.2">
      <c r="A12" s="59"/>
      <c r="B12" s="60"/>
      <c r="C12" s="61"/>
      <c r="D12" s="63"/>
      <c r="E12" s="63">
        <f t="shared" si="0"/>
        <v>23255</v>
      </c>
      <c r="F12" s="67"/>
      <c r="G12" s="64">
        <f t="shared" si="1"/>
        <v>0</v>
      </c>
      <c r="H12" s="64">
        <f t="shared" si="2"/>
        <v>23255</v>
      </c>
    </row>
    <row r="13" spans="1:9" x14ac:dyDescent="0.2">
      <c r="A13" s="59"/>
      <c r="B13" s="60"/>
      <c r="C13" s="61"/>
      <c r="D13" s="63"/>
      <c r="E13" s="63">
        <f t="shared" si="0"/>
        <v>23255</v>
      </c>
      <c r="F13" s="67"/>
      <c r="G13" s="64">
        <f t="shared" si="1"/>
        <v>0</v>
      </c>
      <c r="H13" s="64">
        <f t="shared" si="2"/>
        <v>23255</v>
      </c>
    </row>
    <row r="14" spans="1:9" x14ac:dyDescent="0.2">
      <c r="A14" s="59"/>
      <c r="B14" s="60"/>
      <c r="C14" s="61"/>
      <c r="D14" s="63"/>
      <c r="E14" s="63">
        <f t="shared" si="0"/>
        <v>23255</v>
      </c>
      <c r="F14" s="64"/>
      <c r="G14" s="64">
        <f t="shared" si="1"/>
        <v>0</v>
      </c>
      <c r="H14" s="64">
        <f t="shared" si="2"/>
        <v>23255</v>
      </c>
    </row>
    <row r="15" spans="1:9" x14ac:dyDescent="0.2">
      <c r="A15" s="59"/>
      <c r="B15" s="60"/>
      <c r="C15" s="61"/>
      <c r="D15" s="63"/>
      <c r="E15" s="63">
        <f t="shared" si="0"/>
        <v>23255</v>
      </c>
      <c r="F15" s="67"/>
      <c r="G15" s="64">
        <f t="shared" si="1"/>
        <v>0</v>
      </c>
      <c r="H15" s="64">
        <f t="shared" si="2"/>
        <v>23255</v>
      </c>
    </row>
    <row r="16" spans="1:9" x14ac:dyDescent="0.2">
      <c r="A16" s="59"/>
      <c r="B16" s="60"/>
      <c r="C16" s="61"/>
      <c r="D16" s="63"/>
      <c r="E16" s="63">
        <f t="shared" si="0"/>
        <v>23255</v>
      </c>
      <c r="F16" s="67"/>
      <c r="G16" s="64">
        <f t="shared" si="1"/>
        <v>0</v>
      </c>
      <c r="H16" s="64">
        <f t="shared" si="2"/>
        <v>23255</v>
      </c>
    </row>
    <row r="17" spans="1:8" x14ac:dyDescent="0.2">
      <c r="A17" s="59"/>
      <c r="B17" s="60"/>
      <c r="C17" s="61"/>
      <c r="D17" s="63"/>
      <c r="E17" s="63">
        <f t="shared" si="0"/>
        <v>23255</v>
      </c>
      <c r="F17" s="67"/>
      <c r="G17" s="64">
        <f t="shared" si="1"/>
        <v>0</v>
      </c>
      <c r="H17" s="64">
        <f t="shared" si="2"/>
        <v>23255</v>
      </c>
    </row>
    <row r="18" spans="1:8" x14ac:dyDescent="0.2">
      <c r="A18" s="59"/>
      <c r="B18" s="60"/>
      <c r="C18" s="61"/>
      <c r="D18" s="63"/>
      <c r="E18" s="63">
        <f t="shared" si="0"/>
        <v>23255</v>
      </c>
      <c r="F18" s="67"/>
      <c r="G18" s="64">
        <f t="shared" si="1"/>
        <v>0</v>
      </c>
      <c r="H18" s="64">
        <f t="shared" si="2"/>
        <v>23255</v>
      </c>
    </row>
    <row r="19" spans="1:8" x14ac:dyDescent="0.2">
      <c r="A19" s="59"/>
      <c r="B19" s="60"/>
      <c r="C19" s="61"/>
      <c r="D19" s="63"/>
      <c r="E19" s="63">
        <f t="shared" si="0"/>
        <v>23255</v>
      </c>
      <c r="F19" s="64"/>
      <c r="G19" s="64">
        <f t="shared" si="1"/>
        <v>0</v>
      </c>
      <c r="H19" s="64">
        <f t="shared" si="2"/>
        <v>23255</v>
      </c>
    </row>
    <row r="20" spans="1:8" x14ac:dyDescent="0.2">
      <c r="A20" s="59"/>
      <c r="B20" s="60"/>
      <c r="C20" s="61"/>
      <c r="D20" s="63"/>
      <c r="E20" s="63">
        <f t="shared" si="0"/>
        <v>23255</v>
      </c>
      <c r="F20" s="64"/>
      <c r="G20" s="64">
        <f t="shared" si="1"/>
        <v>0</v>
      </c>
      <c r="H20" s="64">
        <f t="shared" si="2"/>
        <v>23255</v>
      </c>
    </row>
    <row r="21" spans="1:8" x14ac:dyDescent="0.2">
      <c r="A21" s="59"/>
      <c r="B21" s="60"/>
      <c r="C21" s="68"/>
      <c r="D21" s="63"/>
      <c r="E21" s="63">
        <f t="shared" si="0"/>
        <v>23255</v>
      </c>
      <c r="F21" s="64"/>
      <c r="G21" s="64">
        <f t="shared" si="1"/>
        <v>0</v>
      </c>
      <c r="H21" s="64">
        <f t="shared" si="2"/>
        <v>23255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23255</v>
      </c>
      <c r="E23" s="72"/>
      <c r="F23" s="72">
        <f>SUM(F9:F22)</f>
        <v>0</v>
      </c>
      <c r="G23" s="72"/>
      <c r="H23" s="72">
        <f>D23-F23</f>
        <v>23255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9"/>
      <c r="D26" s="270"/>
      <c r="E26" s="270"/>
      <c r="F26" s="270"/>
      <c r="G26" s="270"/>
      <c r="H26" s="270"/>
    </row>
    <row r="27" spans="1:8" x14ac:dyDescent="0.2">
      <c r="A27" s="73"/>
      <c r="B27" s="61"/>
      <c r="C27" s="269"/>
      <c r="D27" s="270"/>
      <c r="E27" s="270"/>
      <c r="F27" s="270"/>
      <c r="G27" s="270"/>
      <c r="H27" s="270"/>
    </row>
    <row r="28" spans="1:8" x14ac:dyDescent="0.2">
      <c r="A28" s="73"/>
      <c r="B28" s="61"/>
      <c r="C28" s="271"/>
      <c r="D28" s="272"/>
      <c r="E28" s="272"/>
      <c r="F28" s="272"/>
      <c r="G28" s="272"/>
      <c r="H28" s="272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2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XFD25"/>
  <sheetViews>
    <sheetView zoomScaleNormal="100" workbookViewId="0">
      <selection activeCell="I32" sqref="I32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16384" ht="24.75" customHeight="1" x14ac:dyDescent="0.25">
      <c r="B1" s="36" t="s">
        <v>286</v>
      </c>
      <c r="C1" s="3"/>
    </row>
    <row r="2" spans="1:16384" ht="15.75" x14ac:dyDescent="0.25">
      <c r="B2" s="6" t="s">
        <v>287</v>
      </c>
    </row>
    <row r="3" spans="1:16384" ht="15.75" x14ac:dyDescent="0.25">
      <c r="B3" s="7" t="s">
        <v>288</v>
      </c>
      <c r="E3" s="8" t="s">
        <v>281</v>
      </c>
    </row>
    <row r="4" spans="1:16384" ht="15.75" x14ac:dyDescent="0.25">
      <c r="B4" s="9" t="s">
        <v>4</v>
      </c>
      <c r="C4" s="10" t="s">
        <v>5</v>
      </c>
    </row>
    <row r="5" spans="1:16384" ht="15.75" x14ac:dyDescent="0.25">
      <c r="B5" s="11" t="s">
        <v>69</v>
      </c>
    </row>
    <row r="6" spans="1:16384" s="17" customFormat="1" ht="15.75" x14ac:dyDescent="0.25">
      <c r="A6" s="12"/>
      <c r="B6" s="13" t="s">
        <v>285</v>
      </c>
      <c r="C6" s="14"/>
      <c r="D6" s="15" t="s">
        <v>5</v>
      </c>
      <c r="E6" s="16"/>
      <c r="F6" s="16"/>
      <c r="G6" s="16"/>
    </row>
    <row r="7" spans="1:16384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16384" ht="28.35" customHeight="1" x14ac:dyDescent="0.2">
      <c r="B8" s="1" t="s">
        <v>12</v>
      </c>
      <c r="C8" s="23">
        <f>FINANCIAL!G25</f>
        <v>200000</v>
      </c>
      <c r="D8" s="24"/>
      <c r="E8" s="24"/>
      <c r="F8" s="24"/>
      <c r="G8" s="25"/>
    </row>
    <row r="9" spans="1:16384" x14ac:dyDescent="0.2">
      <c r="C9" s="26"/>
      <c r="D9" s="27"/>
      <c r="E9" s="27"/>
      <c r="F9" s="27"/>
      <c r="G9" s="25"/>
      <c r="H9" s="17"/>
    </row>
    <row r="10" spans="1:16384" x14ac:dyDescent="0.2">
      <c r="B10" s="5" t="s">
        <v>265</v>
      </c>
      <c r="C10" s="26"/>
      <c r="D10" s="24">
        <f>'#9449.00 DCI Group'!D23</f>
        <v>22170.45</v>
      </c>
      <c r="E10" s="24">
        <f>'#9449.00 DCI Group'!F23</f>
        <v>0</v>
      </c>
      <c r="F10" s="24">
        <f>'#9449.00 DCI Group'!H23</f>
        <v>22170.45</v>
      </c>
      <c r="G10" s="25"/>
      <c r="H10" s="17"/>
    </row>
    <row r="11" spans="1:16384" x14ac:dyDescent="0.2">
      <c r="B11" s="5" t="s">
        <v>14</v>
      </c>
      <c r="C11" s="26"/>
      <c r="D11" s="24">
        <f>'#9449.00 PM TIME'!E23</f>
        <v>15000</v>
      </c>
      <c r="E11" s="24">
        <f>'#9449.00 PM TIME'!G23</f>
        <v>732.5</v>
      </c>
      <c r="F11" s="24">
        <f>'#9449.00 PM TIME'!I23</f>
        <v>14267.5</v>
      </c>
      <c r="G11" s="25"/>
      <c r="H11" s="17"/>
    </row>
    <row r="12" spans="1:16384" x14ac:dyDescent="0.2">
      <c r="B12" s="5" t="s">
        <v>15</v>
      </c>
      <c r="C12" s="27"/>
      <c r="D12" s="28">
        <f>'#9449.00 Misc'!G22</f>
        <v>0</v>
      </c>
      <c r="E12" s="28">
        <f>'#9449.00 Misc'!G22</f>
        <v>0</v>
      </c>
      <c r="F12" s="24">
        <f>D12-E12</f>
        <v>0</v>
      </c>
      <c r="G12" s="25"/>
      <c r="H12" s="17"/>
    </row>
    <row r="13" spans="1:16384" x14ac:dyDescent="0.2">
      <c r="B13" s="5" t="s">
        <v>303</v>
      </c>
      <c r="C13" s="27"/>
      <c r="D13" s="28">
        <f>'#9449.00 OPN Architects'!D30</f>
        <v>54750</v>
      </c>
      <c r="E13" s="28">
        <f>'#9449.00 OPN Architects'!F23</f>
        <v>0</v>
      </c>
      <c r="F13" s="24">
        <f>'#9449.00 OPN Architects'!H23</f>
        <v>54750</v>
      </c>
      <c r="G13" s="25"/>
      <c r="H13" s="17"/>
    </row>
    <row r="14" spans="1:16384" s="17" customFormat="1" ht="13.3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pans="1:16384" s="30" customFormat="1" ht="24" customHeight="1" thickBot="1" x14ac:dyDescent="0.3">
      <c r="B15" s="31" t="s">
        <v>16</v>
      </c>
      <c r="C15" s="32">
        <f>SUM(C8:C14)</f>
        <v>200000</v>
      </c>
      <c r="D15" s="32">
        <f>SUM(D8:D14)</f>
        <v>91920.45</v>
      </c>
      <c r="E15" s="32">
        <f>SUM(E8:E14)</f>
        <v>732.5</v>
      </c>
      <c r="F15" s="32">
        <f>SUM(D15-E15)</f>
        <v>91187.95</v>
      </c>
      <c r="G15" s="32">
        <f>C15-D15</f>
        <v>108079.55</v>
      </c>
    </row>
    <row r="16" spans="1:16384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#9449.00'!B1</f>
        <v>DAS TH Carriage House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#9449.00'!B2</f>
        <v>Project # 9449.00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#9449.00'!B3</f>
        <v>Program code 944900</v>
      </c>
      <c r="B3" s="5"/>
      <c r="C3" s="4"/>
      <c r="D3" s="8" t="str">
        <f>'RECAP #9449.00'!E3</f>
        <v>Major Program 4D04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#9449.00'!B6</f>
        <v>Project Manager - James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354</v>
      </c>
      <c r="B9" s="60">
        <v>45642</v>
      </c>
      <c r="C9" s="61" t="s">
        <v>167</v>
      </c>
      <c r="D9" s="247">
        <v>22170.45</v>
      </c>
      <c r="E9" s="63">
        <f>D9</f>
        <v>22170.45</v>
      </c>
      <c r="F9" s="64"/>
      <c r="G9" s="64"/>
      <c r="H9" s="64">
        <f>E9</f>
        <v>22170.45</v>
      </c>
    </row>
    <row r="10" spans="1:9" x14ac:dyDescent="0.2">
      <c r="A10" s="59"/>
      <c r="B10" s="66"/>
      <c r="C10" s="61"/>
      <c r="D10" s="63"/>
      <c r="E10" s="63">
        <f t="shared" ref="E10:E21" si="0">E9+D10</f>
        <v>22170.45</v>
      </c>
      <c r="F10" s="67"/>
      <c r="G10" s="64">
        <f t="shared" ref="G10:G21" si="1">G9+F10</f>
        <v>0</v>
      </c>
      <c r="H10" s="64">
        <f t="shared" ref="H10:H21" si="2">H9-F10+D10</f>
        <v>22170.45</v>
      </c>
    </row>
    <row r="11" spans="1:9" x14ac:dyDescent="0.2">
      <c r="A11" s="59"/>
      <c r="B11" s="60"/>
      <c r="C11" s="61"/>
      <c r="D11" s="63"/>
      <c r="E11" s="63">
        <f t="shared" si="0"/>
        <v>22170.45</v>
      </c>
      <c r="F11" s="67"/>
      <c r="G11" s="64">
        <f t="shared" si="1"/>
        <v>0</v>
      </c>
      <c r="H11" s="64">
        <f t="shared" si="2"/>
        <v>22170.45</v>
      </c>
    </row>
    <row r="12" spans="1:9" x14ac:dyDescent="0.2">
      <c r="A12" s="59"/>
      <c r="B12" s="60"/>
      <c r="C12" s="61"/>
      <c r="D12" s="63"/>
      <c r="E12" s="63">
        <f t="shared" si="0"/>
        <v>22170.45</v>
      </c>
      <c r="F12" s="67"/>
      <c r="G12" s="64">
        <f t="shared" si="1"/>
        <v>0</v>
      </c>
      <c r="H12" s="64">
        <f t="shared" si="2"/>
        <v>22170.45</v>
      </c>
    </row>
    <row r="13" spans="1:9" x14ac:dyDescent="0.2">
      <c r="A13" s="59"/>
      <c r="B13" s="60"/>
      <c r="C13" s="61"/>
      <c r="D13" s="63"/>
      <c r="E13" s="63">
        <f t="shared" si="0"/>
        <v>22170.45</v>
      </c>
      <c r="F13" s="67"/>
      <c r="G13" s="64">
        <f t="shared" si="1"/>
        <v>0</v>
      </c>
      <c r="H13" s="64">
        <f t="shared" si="2"/>
        <v>22170.45</v>
      </c>
    </row>
    <row r="14" spans="1:9" x14ac:dyDescent="0.2">
      <c r="A14" s="59"/>
      <c r="B14" s="60"/>
      <c r="C14" s="61"/>
      <c r="D14" s="63"/>
      <c r="E14" s="63">
        <f t="shared" si="0"/>
        <v>22170.45</v>
      </c>
      <c r="F14" s="64"/>
      <c r="G14" s="64">
        <f t="shared" si="1"/>
        <v>0</v>
      </c>
      <c r="H14" s="64">
        <f t="shared" si="2"/>
        <v>22170.45</v>
      </c>
    </row>
    <row r="15" spans="1:9" x14ac:dyDescent="0.2">
      <c r="A15" s="59"/>
      <c r="B15" s="60"/>
      <c r="C15" s="61"/>
      <c r="D15" s="63"/>
      <c r="E15" s="63">
        <f t="shared" si="0"/>
        <v>22170.45</v>
      </c>
      <c r="F15" s="67"/>
      <c r="G15" s="64">
        <f t="shared" si="1"/>
        <v>0</v>
      </c>
      <c r="H15" s="64">
        <f t="shared" si="2"/>
        <v>22170.45</v>
      </c>
    </row>
    <row r="16" spans="1:9" x14ac:dyDescent="0.2">
      <c r="A16" s="59"/>
      <c r="B16" s="60"/>
      <c r="C16" s="61"/>
      <c r="D16" s="63"/>
      <c r="E16" s="63">
        <f t="shared" si="0"/>
        <v>22170.45</v>
      </c>
      <c r="F16" s="67"/>
      <c r="G16" s="64">
        <f t="shared" si="1"/>
        <v>0</v>
      </c>
      <c r="H16" s="64">
        <f t="shared" si="2"/>
        <v>22170.45</v>
      </c>
    </row>
    <row r="17" spans="1:8" x14ac:dyDescent="0.2">
      <c r="A17" s="59"/>
      <c r="B17" s="60"/>
      <c r="C17" s="61"/>
      <c r="D17" s="63"/>
      <c r="E17" s="63">
        <f t="shared" si="0"/>
        <v>22170.45</v>
      </c>
      <c r="F17" s="67"/>
      <c r="G17" s="64">
        <f t="shared" si="1"/>
        <v>0</v>
      </c>
      <c r="H17" s="64">
        <f t="shared" si="2"/>
        <v>22170.45</v>
      </c>
    </row>
    <row r="18" spans="1:8" x14ac:dyDescent="0.2">
      <c r="A18" s="59"/>
      <c r="B18" s="60"/>
      <c r="C18" s="61"/>
      <c r="D18" s="63"/>
      <c r="E18" s="63">
        <f t="shared" si="0"/>
        <v>22170.45</v>
      </c>
      <c r="F18" s="67"/>
      <c r="G18" s="64">
        <f t="shared" si="1"/>
        <v>0</v>
      </c>
      <c r="H18" s="64">
        <f t="shared" si="2"/>
        <v>22170.45</v>
      </c>
    </row>
    <row r="19" spans="1:8" x14ac:dyDescent="0.2">
      <c r="A19" s="59"/>
      <c r="B19" s="60"/>
      <c r="C19" s="61"/>
      <c r="D19" s="63"/>
      <c r="E19" s="63">
        <f t="shared" si="0"/>
        <v>22170.45</v>
      </c>
      <c r="F19" s="64"/>
      <c r="G19" s="64">
        <f t="shared" si="1"/>
        <v>0</v>
      </c>
      <c r="H19" s="64">
        <f t="shared" si="2"/>
        <v>22170.45</v>
      </c>
    </row>
    <row r="20" spans="1:8" x14ac:dyDescent="0.2">
      <c r="A20" s="59"/>
      <c r="B20" s="60"/>
      <c r="C20" s="61"/>
      <c r="D20" s="63"/>
      <c r="E20" s="63">
        <f t="shared" si="0"/>
        <v>22170.45</v>
      </c>
      <c r="F20" s="64"/>
      <c r="G20" s="64">
        <f t="shared" si="1"/>
        <v>0</v>
      </c>
      <c r="H20" s="64">
        <f t="shared" si="2"/>
        <v>22170.45</v>
      </c>
    </row>
    <row r="21" spans="1:8" x14ac:dyDescent="0.2">
      <c r="A21" s="59"/>
      <c r="B21" s="60"/>
      <c r="C21" s="68"/>
      <c r="D21" s="63"/>
      <c r="E21" s="63">
        <f t="shared" si="0"/>
        <v>22170.45</v>
      </c>
      <c r="F21" s="64"/>
      <c r="G21" s="64">
        <f t="shared" si="1"/>
        <v>0</v>
      </c>
      <c r="H21" s="64">
        <f t="shared" si="2"/>
        <v>22170.45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22170.45</v>
      </c>
      <c r="E23" s="72"/>
      <c r="F23" s="72">
        <f>SUM(F9:F22)</f>
        <v>0</v>
      </c>
      <c r="G23" s="72"/>
      <c r="H23" s="72">
        <f>D23-F23</f>
        <v>22170.45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f>19170.45</f>
        <v>19170.45</v>
      </c>
      <c r="E26" s="252"/>
      <c r="F26" s="252"/>
      <c r="G26" s="252"/>
      <c r="H26" s="252">
        <f>D26-F26</f>
        <v>19170.45</v>
      </c>
    </row>
    <row r="27" spans="1:8" x14ac:dyDescent="0.2">
      <c r="A27" s="73"/>
      <c r="B27" s="61"/>
      <c r="C27" s="251" t="s">
        <v>173</v>
      </c>
      <c r="D27" s="252">
        <f>3000</f>
        <v>3000</v>
      </c>
      <c r="E27" s="252"/>
      <c r="F27" s="252"/>
      <c r="G27" s="252"/>
      <c r="H27" s="252">
        <f>D27-F27</f>
        <v>3000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22170.45</v>
      </c>
      <c r="E28" s="255"/>
      <c r="F28" s="254">
        <f>SUM(F26:F27)</f>
        <v>0</v>
      </c>
      <c r="G28" s="255"/>
      <c r="H28" s="254">
        <f>SUM(H26:H27)</f>
        <v>22170.45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1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627"/>
  <sheetViews>
    <sheetView zoomScaleNormal="100" workbookViewId="0">
      <selection activeCell="O14" sqref="O1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" style="65" customWidth="1"/>
    <col min="10" max="16384" width="11.42578125" style="65"/>
  </cols>
  <sheetData>
    <row r="1" spans="1:10" s="35" customFormat="1" ht="24.75" customHeight="1" x14ac:dyDescent="0.25">
      <c r="A1" s="2" t="str">
        <f>'RECAP #9449.00'!B1</f>
        <v>DAS TH Carriage House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#9449.00'!B2</f>
        <v>Project # 9449.00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#9449.00'!B3</f>
        <v>Program code 944900</v>
      </c>
      <c r="B3" s="5"/>
      <c r="C3" s="5"/>
      <c r="D3" s="4"/>
      <c r="E3" s="8" t="str">
        <f>'RECAP #9449.00'!E3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297</v>
      </c>
      <c r="F6" s="50"/>
      <c r="G6" s="51"/>
      <c r="H6" s="47"/>
      <c r="I6" s="42"/>
    </row>
    <row r="7" spans="1:10" s="35" customFormat="1" ht="15.75" x14ac:dyDescent="0.25">
      <c r="A7" s="13" t="str">
        <f>'RECAP #9449.00'!B6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15000</v>
      </c>
      <c r="F9" s="63">
        <f>E9</f>
        <v>15000</v>
      </c>
      <c r="G9" s="64"/>
      <c r="H9" s="64"/>
      <c r="I9" s="64">
        <f>F9</f>
        <v>15000</v>
      </c>
    </row>
    <row r="10" spans="1:10" x14ac:dyDescent="0.2">
      <c r="A10" s="257" t="s">
        <v>345</v>
      </c>
      <c r="B10" s="275">
        <v>45635</v>
      </c>
      <c r="C10" s="276">
        <v>2507</v>
      </c>
      <c r="D10" s="277" t="s">
        <v>346</v>
      </c>
      <c r="E10" s="63"/>
      <c r="F10" s="63">
        <f t="shared" ref="F10:F21" si="0">F9+E10</f>
        <v>15000</v>
      </c>
      <c r="G10" s="258">
        <f>34.29+61.71</f>
        <v>96</v>
      </c>
      <c r="H10" s="64">
        <f t="shared" ref="H10:H21" si="1">H9+G10</f>
        <v>96</v>
      </c>
      <c r="I10" s="64">
        <f t="shared" ref="I10:I21" si="2">I9-G10+E10</f>
        <v>14904</v>
      </c>
    </row>
    <row r="11" spans="1:10" x14ac:dyDescent="0.2">
      <c r="A11" s="257" t="s">
        <v>345</v>
      </c>
      <c r="B11" s="275">
        <v>45635</v>
      </c>
      <c r="C11" s="276">
        <v>9500</v>
      </c>
      <c r="D11" s="278" t="s">
        <v>347</v>
      </c>
      <c r="E11" s="63"/>
      <c r="F11" s="63">
        <f t="shared" si="0"/>
        <v>15000</v>
      </c>
      <c r="G11" s="258">
        <f>42.5+594</f>
        <v>636.5</v>
      </c>
      <c r="H11" s="64">
        <f t="shared" si="1"/>
        <v>732.5</v>
      </c>
      <c r="I11" s="64">
        <f t="shared" si="2"/>
        <v>14267.5</v>
      </c>
    </row>
    <row r="12" spans="1:10" x14ac:dyDescent="0.2">
      <c r="A12" s="85"/>
      <c r="B12" s="60"/>
      <c r="C12" s="60"/>
      <c r="D12" s="83"/>
      <c r="E12" s="63"/>
      <c r="F12" s="63">
        <f t="shared" si="0"/>
        <v>15000</v>
      </c>
      <c r="G12" s="67"/>
      <c r="H12" s="64">
        <f t="shared" si="1"/>
        <v>732.5</v>
      </c>
      <c r="I12" s="64">
        <f t="shared" si="2"/>
        <v>14267.5</v>
      </c>
    </row>
    <row r="13" spans="1:10" x14ac:dyDescent="0.2">
      <c r="A13" s="85"/>
      <c r="B13" s="60"/>
      <c r="C13" s="60"/>
      <c r="D13" s="83"/>
      <c r="E13" s="63"/>
      <c r="F13" s="63">
        <f t="shared" si="0"/>
        <v>15000</v>
      </c>
      <c r="G13" s="67"/>
      <c r="H13" s="64">
        <f t="shared" si="1"/>
        <v>732.5</v>
      </c>
      <c r="I13" s="64">
        <f t="shared" si="2"/>
        <v>14267.5</v>
      </c>
    </row>
    <row r="14" spans="1:10" x14ac:dyDescent="0.2">
      <c r="A14" s="85"/>
      <c r="B14" s="60"/>
      <c r="C14" s="60"/>
      <c r="D14" s="83"/>
      <c r="E14" s="63"/>
      <c r="F14" s="63">
        <f t="shared" si="0"/>
        <v>15000</v>
      </c>
      <c r="G14" s="64"/>
      <c r="H14" s="64">
        <f t="shared" si="1"/>
        <v>732.5</v>
      </c>
      <c r="I14" s="64">
        <f t="shared" si="2"/>
        <v>14267.5</v>
      </c>
    </row>
    <row r="15" spans="1:10" x14ac:dyDescent="0.2">
      <c r="A15" s="85"/>
      <c r="B15" s="60"/>
      <c r="C15" s="60"/>
      <c r="D15" s="83"/>
      <c r="E15" s="63"/>
      <c r="F15" s="63">
        <f t="shared" si="0"/>
        <v>15000</v>
      </c>
      <c r="G15" s="67"/>
      <c r="H15" s="64">
        <f t="shared" si="1"/>
        <v>732.5</v>
      </c>
      <c r="I15" s="64">
        <f t="shared" si="2"/>
        <v>14267.5</v>
      </c>
    </row>
    <row r="16" spans="1:10" x14ac:dyDescent="0.2">
      <c r="A16" s="85"/>
      <c r="B16" s="60"/>
      <c r="C16" s="60"/>
      <c r="D16" s="83"/>
      <c r="E16" s="63"/>
      <c r="F16" s="63">
        <f t="shared" si="0"/>
        <v>15000</v>
      </c>
      <c r="G16" s="67"/>
      <c r="H16" s="64">
        <f t="shared" si="1"/>
        <v>732.5</v>
      </c>
      <c r="I16" s="64">
        <f t="shared" si="2"/>
        <v>14267.5</v>
      </c>
    </row>
    <row r="17" spans="1:9" x14ac:dyDescent="0.2">
      <c r="A17" s="85"/>
      <c r="B17" s="60"/>
      <c r="C17" s="60"/>
      <c r="D17" s="83"/>
      <c r="E17" s="63"/>
      <c r="F17" s="63">
        <f t="shared" si="0"/>
        <v>15000</v>
      </c>
      <c r="G17" s="67"/>
      <c r="H17" s="64">
        <f t="shared" si="1"/>
        <v>732.5</v>
      </c>
      <c r="I17" s="64">
        <f t="shared" si="2"/>
        <v>14267.5</v>
      </c>
    </row>
    <row r="18" spans="1:9" x14ac:dyDescent="0.2">
      <c r="A18" s="85"/>
      <c r="B18" s="60"/>
      <c r="C18" s="60"/>
      <c r="D18" s="83"/>
      <c r="E18" s="63"/>
      <c r="F18" s="63">
        <f t="shared" si="0"/>
        <v>15000</v>
      </c>
      <c r="G18" s="67"/>
      <c r="H18" s="64">
        <f t="shared" si="1"/>
        <v>732.5</v>
      </c>
      <c r="I18" s="64">
        <f t="shared" si="2"/>
        <v>14267.5</v>
      </c>
    </row>
    <row r="19" spans="1:9" x14ac:dyDescent="0.2">
      <c r="A19" s="82"/>
      <c r="B19" s="60"/>
      <c r="C19" s="60"/>
      <c r="D19" s="83"/>
      <c r="E19" s="63"/>
      <c r="F19" s="63">
        <f t="shared" si="0"/>
        <v>15000</v>
      </c>
      <c r="G19" s="64"/>
      <c r="H19" s="64">
        <f t="shared" si="1"/>
        <v>732.5</v>
      </c>
      <c r="I19" s="64">
        <f t="shared" si="2"/>
        <v>14267.5</v>
      </c>
    </row>
    <row r="20" spans="1:9" x14ac:dyDescent="0.2">
      <c r="A20" s="82"/>
      <c r="B20" s="60"/>
      <c r="C20" s="60"/>
      <c r="D20" s="83"/>
      <c r="E20" s="63"/>
      <c r="F20" s="63">
        <f t="shared" si="0"/>
        <v>15000</v>
      </c>
      <c r="G20" s="64"/>
      <c r="H20" s="64">
        <f t="shared" si="1"/>
        <v>732.5</v>
      </c>
      <c r="I20" s="64">
        <f t="shared" si="2"/>
        <v>14267.5</v>
      </c>
    </row>
    <row r="21" spans="1:9" x14ac:dyDescent="0.2">
      <c r="A21" s="82"/>
      <c r="B21" s="60"/>
      <c r="C21" s="60"/>
      <c r="D21" s="86"/>
      <c r="E21" s="63"/>
      <c r="F21" s="63">
        <f t="shared" si="0"/>
        <v>15000</v>
      </c>
      <c r="G21" s="64"/>
      <c r="H21" s="64">
        <f t="shared" si="1"/>
        <v>732.5</v>
      </c>
      <c r="I21" s="64">
        <f t="shared" si="2"/>
        <v>14267.5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15000</v>
      </c>
      <c r="F23" s="72"/>
      <c r="G23" s="72">
        <f>SUM(G9:G22)</f>
        <v>732.5</v>
      </c>
      <c r="H23" s="72"/>
      <c r="I23" s="72">
        <f>E23-G23</f>
        <v>14267.5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#9449.00'!B1</f>
        <v>DAS TH Carriage House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#9449.00'!B2</f>
        <v>Project # 9449.00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#9449.00'!B3</f>
        <v>Program code 944900</v>
      </c>
      <c r="E3" s="8" t="str">
        <f>'RECAP #9449.00'!E3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344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#9449.00'!B6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91E5-A840-4C8F-BD17-815871AA4A3A}">
  <dimension ref="A1:I629"/>
  <sheetViews>
    <sheetView zoomScaleNormal="100" workbookViewId="0">
      <selection activeCell="C19" sqref="C1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#9449.00'!B1</f>
        <v>DAS TH Carriage House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#9449.00'!B2</f>
        <v>Project # 9449.00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#9449.00'!B3</f>
        <v>Program code 944900</v>
      </c>
      <c r="B3" s="5"/>
      <c r="C3" s="4"/>
      <c r="D3" s="8" t="str">
        <f>'RECAP #9449.00'!E3</f>
        <v>Major Program 4D04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382</v>
      </c>
      <c r="E5" s="45"/>
      <c r="F5" s="46"/>
      <c r="G5" s="47"/>
      <c r="H5" s="42"/>
    </row>
    <row r="6" spans="1:9" s="35" customFormat="1" ht="15.75" x14ac:dyDescent="0.25">
      <c r="A6" s="13" t="str">
        <f>'RECAP #9449.00'!B6</f>
        <v>Project Manager - James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384</v>
      </c>
      <c r="B9" s="60">
        <v>45653</v>
      </c>
      <c r="C9" s="61" t="s">
        <v>167</v>
      </c>
      <c r="D9" s="247">
        <v>54750</v>
      </c>
      <c r="E9" s="63">
        <f>D9</f>
        <v>54750</v>
      </c>
      <c r="F9" s="64"/>
      <c r="G9" s="64"/>
      <c r="H9" s="64">
        <f>E9</f>
        <v>54750</v>
      </c>
    </row>
    <row r="10" spans="1:9" x14ac:dyDescent="0.2">
      <c r="A10" s="59"/>
      <c r="B10" s="66"/>
      <c r="C10" s="61"/>
      <c r="D10" s="63"/>
      <c r="E10" s="63">
        <f t="shared" ref="E10:E21" si="0">E9+D10</f>
        <v>54750</v>
      </c>
      <c r="F10" s="67"/>
      <c r="G10" s="64">
        <f t="shared" ref="G10:G21" si="1">G9+F10</f>
        <v>0</v>
      </c>
      <c r="H10" s="64">
        <f t="shared" ref="H10:H21" si="2">H9-F10+D10</f>
        <v>54750</v>
      </c>
    </row>
    <row r="11" spans="1:9" x14ac:dyDescent="0.2">
      <c r="A11" s="59"/>
      <c r="B11" s="60"/>
      <c r="C11" s="61"/>
      <c r="D11" s="63"/>
      <c r="E11" s="63">
        <f t="shared" si="0"/>
        <v>54750</v>
      </c>
      <c r="F11" s="67"/>
      <c r="G11" s="64">
        <f t="shared" si="1"/>
        <v>0</v>
      </c>
      <c r="H11" s="64">
        <f t="shared" si="2"/>
        <v>54750</v>
      </c>
    </row>
    <row r="12" spans="1:9" x14ac:dyDescent="0.2">
      <c r="A12" s="59"/>
      <c r="B12" s="60"/>
      <c r="C12" s="61"/>
      <c r="D12" s="63"/>
      <c r="E12" s="63">
        <f t="shared" si="0"/>
        <v>54750</v>
      </c>
      <c r="F12" s="67"/>
      <c r="G12" s="64">
        <f t="shared" si="1"/>
        <v>0</v>
      </c>
      <c r="H12" s="64">
        <f t="shared" si="2"/>
        <v>54750</v>
      </c>
    </row>
    <row r="13" spans="1:9" x14ac:dyDescent="0.2">
      <c r="A13" s="59"/>
      <c r="B13" s="60"/>
      <c r="C13" s="61"/>
      <c r="D13" s="63"/>
      <c r="E13" s="63">
        <f t="shared" si="0"/>
        <v>54750</v>
      </c>
      <c r="F13" s="67"/>
      <c r="G13" s="64">
        <f t="shared" si="1"/>
        <v>0</v>
      </c>
      <c r="H13" s="64">
        <f t="shared" si="2"/>
        <v>54750</v>
      </c>
    </row>
    <row r="14" spans="1:9" x14ac:dyDescent="0.2">
      <c r="A14" s="59"/>
      <c r="B14" s="60"/>
      <c r="C14" s="61"/>
      <c r="D14" s="63"/>
      <c r="E14" s="63">
        <f t="shared" si="0"/>
        <v>54750</v>
      </c>
      <c r="F14" s="64"/>
      <c r="G14" s="64">
        <f t="shared" si="1"/>
        <v>0</v>
      </c>
      <c r="H14" s="64">
        <f t="shared" si="2"/>
        <v>54750</v>
      </c>
    </row>
    <row r="15" spans="1:9" x14ac:dyDescent="0.2">
      <c r="A15" s="59"/>
      <c r="B15" s="60"/>
      <c r="C15" s="61"/>
      <c r="D15" s="63"/>
      <c r="E15" s="63">
        <f t="shared" si="0"/>
        <v>54750</v>
      </c>
      <c r="F15" s="67"/>
      <c r="G15" s="64">
        <f t="shared" si="1"/>
        <v>0</v>
      </c>
      <c r="H15" s="64">
        <f t="shared" si="2"/>
        <v>54750</v>
      </c>
    </row>
    <row r="16" spans="1:9" x14ac:dyDescent="0.2">
      <c r="A16" s="59"/>
      <c r="B16" s="60"/>
      <c r="C16" s="61"/>
      <c r="D16" s="63"/>
      <c r="E16" s="63">
        <f t="shared" si="0"/>
        <v>54750</v>
      </c>
      <c r="F16" s="67"/>
      <c r="G16" s="64">
        <f t="shared" si="1"/>
        <v>0</v>
      </c>
      <c r="H16" s="64">
        <f t="shared" si="2"/>
        <v>54750</v>
      </c>
    </row>
    <row r="17" spans="1:8" x14ac:dyDescent="0.2">
      <c r="A17" s="59"/>
      <c r="B17" s="60"/>
      <c r="C17" s="61"/>
      <c r="D17" s="63"/>
      <c r="E17" s="63">
        <f t="shared" si="0"/>
        <v>54750</v>
      </c>
      <c r="F17" s="67"/>
      <c r="G17" s="64">
        <f t="shared" si="1"/>
        <v>0</v>
      </c>
      <c r="H17" s="64">
        <f t="shared" si="2"/>
        <v>54750</v>
      </c>
    </row>
    <row r="18" spans="1:8" x14ac:dyDescent="0.2">
      <c r="A18" s="59"/>
      <c r="B18" s="60"/>
      <c r="C18" s="61"/>
      <c r="D18" s="63"/>
      <c r="E18" s="63">
        <f t="shared" si="0"/>
        <v>54750</v>
      </c>
      <c r="F18" s="67"/>
      <c r="G18" s="64">
        <f t="shared" si="1"/>
        <v>0</v>
      </c>
      <c r="H18" s="64">
        <f t="shared" si="2"/>
        <v>54750</v>
      </c>
    </row>
    <row r="19" spans="1:8" x14ac:dyDescent="0.2">
      <c r="A19" s="59"/>
      <c r="B19" s="60"/>
      <c r="C19" s="61"/>
      <c r="D19" s="63"/>
      <c r="E19" s="63">
        <f t="shared" si="0"/>
        <v>54750</v>
      </c>
      <c r="F19" s="64"/>
      <c r="G19" s="64">
        <f t="shared" si="1"/>
        <v>0</v>
      </c>
      <c r="H19" s="64">
        <f t="shared" si="2"/>
        <v>54750</v>
      </c>
    </row>
    <row r="20" spans="1:8" x14ac:dyDescent="0.2">
      <c r="A20" s="59"/>
      <c r="B20" s="60"/>
      <c r="C20" s="61"/>
      <c r="D20" s="63"/>
      <c r="E20" s="63">
        <f t="shared" si="0"/>
        <v>54750</v>
      </c>
      <c r="F20" s="64"/>
      <c r="G20" s="64">
        <f t="shared" si="1"/>
        <v>0</v>
      </c>
      <c r="H20" s="64">
        <f t="shared" si="2"/>
        <v>54750</v>
      </c>
    </row>
    <row r="21" spans="1:8" x14ac:dyDescent="0.2">
      <c r="A21" s="59"/>
      <c r="B21" s="60"/>
      <c r="C21" s="68"/>
      <c r="D21" s="63"/>
      <c r="E21" s="63">
        <f t="shared" si="0"/>
        <v>54750</v>
      </c>
      <c r="F21" s="64"/>
      <c r="G21" s="64">
        <f t="shared" si="1"/>
        <v>0</v>
      </c>
      <c r="H21" s="64">
        <f t="shared" si="2"/>
        <v>54750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54750</v>
      </c>
      <c r="E23" s="72"/>
      <c r="F23" s="72">
        <f>SUM(F9:F22)</f>
        <v>0</v>
      </c>
      <c r="G23" s="72"/>
      <c r="H23" s="72">
        <f>D23-F23</f>
        <v>54750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206</v>
      </c>
      <c r="D26" s="252">
        <v>29550</v>
      </c>
      <c r="E26" s="252"/>
      <c r="F26" s="252"/>
      <c r="G26" s="252"/>
      <c r="H26" s="252">
        <f>D26-F26</f>
        <v>29550</v>
      </c>
    </row>
    <row r="27" spans="1:8" x14ac:dyDescent="0.2">
      <c r="A27" s="73"/>
      <c r="B27" s="61"/>
      <c r="C27" s="251" t="s">
        <v>385</v>
      </c>
      <c r="D27" s="252">
        <v>4000</v>
      </c>
      <c r="E27" s="252"/>
      <c r="F27" s="252"/>
      <c r="G27" s="252"/>
      <c r="H27" s="252">
        <f t="shared" ref="H27:H29" si="3">D27-F27</f>
        <v>4000</v>
      </c>
    </row>
    <row r="28" spans="1:8" x14ac:dyDescent="0.2">
      <c r="A28" s="73"/>
      <c r="B28" s="61"/>
      <c r="C28" s="251" t="s">
        <v>208</v>
      </c>
      <c r="D28" s="252">
        <v>20800</v>
      </c>
      <c r="E28" s="252"/>
      <c r="F28" s="252"/>
      <c r="G28" s="252"/>
      <c r="H28" s="252">
        <f t="shared" si="3"/>
        <v>20800</v>
      </c>
    </row>
    <row r="29" spans="1:8" x14ac:dyDescent="0.2">
      <c r="A29" s="73"/>
      <c r="B29" s="61"/>
      <c r="C29" s="251" t="s">
        <v>173</v>
      </c>
      <c r="D29" s="252">
        <v>400</v>
      </c>
      <c r="E29" s="252"/>
      <c r="F29" s="252"/>
      <c r="G29" s="252"/>
      <c r="H29" s="252">
        <f t="shared" si="3"/>
        <v>400</v>
      </c>
    </row>
    <row r="30" spans="1:8" ht="13.5" thickBot="1" x14ac:dyDescent="0.25">
      <c r="A30" s="73"/>
      <c r="B30" s="61"/>
      <c r="C30" s="253" t="s">
        <v>174</v>
      </c>
      <c r="D30" s="254">
        <f>SUM(D26:D29)</f>
        <v>54750</v>
      </c>
      <c r="E30" s="255"/>
      <c r="F30" s="254">
        <f>SUM(F26:F29)</f>
        <v>0</v>
      </c>
      <c r="G30" s="255"/>
      <c r="H30" s="254">
        <f>SUM(H26:H29)</f>
        <v>54750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20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25"/>
  <sheetViews>
    <sheetView zoomScaleNormal="100" workbookViewId="0">
      <selection activeCell="F14" sqref="F1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113</v>
      </c>
      <c r="C1" s="3"/>
    </row>
    <row r="2" spans="1:8" ht="15.75" x14ac:dyDescent="0.25">
      <c r="B2" s="6" t="s">
        <v>128</v>
      </c>
    </row>
    <row r="3" spans="1:8" ht="15.75" x14ac:dyDescent="0.25">
      <c r="B3" s="7" t="s">
        <v>129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FINANCIAL!G26</f>
        <v>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'#9451.00 McGough Construction'!D23</f>
        <v>18799.75</v>
      </c>
      <c r="E10" s="24">
        <f>'#9451.00 McGough Construction'!F23</f>
        <v>6851.6399999999994</v>
      </c>
      <c r="F10" s="24">
        <f>'#9451.00 McGough Construction'!H23</f>
        <v>11948.11</v>
      </c>
      <c r="G10" s="25"/>
      <c r="H10" s="17"/>
    </row>
    <row r="11" spans="1:8" x14ac:dyDescent="0.2">
      <c r="B11" s="5" t="s">
        <v>14</v>
      </c>
      <c r="C11" s="26"/>
      <c r="D11" s="24">
        <f>'#9451.00 PM Time'!E23</f>
        <v>8000</v>
      </c>
      <c r="E11" s="24">
        <f>'#9451.00 PM Time'!G23</f>
        <v>5025.72</v>
      </c>
      <c r="F11" s="24">
        <f>'#9451.00 PM Time'!I23</f>
        <v>2974.2799999999997</v>
      </c>
      <c r="G11" s="25"/>
      <c r="H11" s="17"/>
    </row>
    <row r="12" spans="1:8" x14ac:dyDescent="0.2">
      <c r="B12" s="5" t="s">
        <v>15</v>
      </c>
      <c r="C12" s="27"/>
      <c r="D12" s="28">
        <f>'#9451.00 Misc'!G22</f>
        <v>0</v>
      </c>
      <c r="E12" s="28">
        <f>'#9451.00 Misc'!G22</f>
        <v>0</v>
      </c>
      <c r="F12" s="24">
        <f>D12-E12</f>
        <v>0</v>
      </c>
      <c r="G12" s="25"/>
      <c r="H12" s="17"/>
    </row>
    <row r="13" spans="1:8" x14ac:dyDescent="0.2">
      <c r="B13" s="5" t="s">
        <v>227</v>
      </c>
      <c r="C13" s="27"/>
      <c r="D13" s="28">
        <f>'#9451.00 IMEG Corporation'!D23</f>
        <v>34348</v>
      </c>
      <c r="E13" s="28">
        <f>'#9451.00 IMEG Corporation'!F23</f>
        <v>10656</v>
      </c>
      <c r="F13" s="24">
        <f>'#9451.00 IMEG Corporation'!H23</f>
        <v>23692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600000</v>
      </c>
      <c r="D15" s="32">
        <f>SUM(D8:D14)</f>
        <v>61147.75</v>
      </c>
      <c r="E15" s="32">
        <f>SUM(E8:E14)</f>
        <v>22533.360000000001</v>
      </c>
      <c r="F15" s="32">
        <f>SUM(D15-E15)</f>
        <v>38614.39</v>
      </c>
      <c r="G15" s="32">
        <f>C15-D15</f>
        <v>538852.25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626"/>
  <sheetViews>
    <sheetView zoomScaleNormal="100" workbookViewId="0">
      <selection activeCell="F12" sqref="F1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#9451.00'!B1</f>
        <v>DOC ASP LUA A/C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#9451.00'!B2</f>
        <v>Project # 9451.00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#9451.00'!B3</f>
        <v>Program code 945100</v>
      </c>
      <c r="B3" s="5"/>
      <c r="C3" s="4"/>
      <c r="D3" s="8" t="str">
        <f>'RECAP #9451.00'!E3</f>
        <v>Major Program 4B01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#9451.00'!B6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185</v>
      </c>
      <c r="B9" s="60">
        <v>45558</v>
      </c>
      <c r="C9" s="61" t="s">
        <v>167</v>
      </c>
      <c r="D9" s="247">
        <v>18799.75</v>
      </c>
      <c r="E9" s="63">
        <f>D9</f>
        <v>18799.75</v>
      </c>
      <c r="F9" s="64"/>
      <c r="G9" s="64"/>
      <c r="H9" s="64">
        <f>E9</f>
        <v>18799.75</v>
      </c>
    </row>
    <row r="10" spans="1:9" x14ac:dyDescent="0.2">
      <c r="A10" s="59" t="s">
        <v>209</v>
      </c>
      <c r="B10" s="66">
        <v>45579</v>
      </c>
      <c r="C10" s="61" t="s">
        <v>210</v>
      </c>
      <c r="D10" s="63"/>
      <c r="E10" s="63">
        <f t="shared" ref="E10:E21" si="0">E9+D10</f>
        <v>18799.75</v>
      </c>
      <c r="F10" s="258">
        <v>1519.54</v>
      </c>
      <c r="G10" s="64">
        <f t="shared" ref="G10:G21" si="1">G9+F10</f>
        <v>1519.54</v>
      </c>
      <c r="H10" s="64">
        <f t="shared" ref="H10:H21" si="2">H9-F10+D10</f>
        <v>17280.21</v>
      </c>
    </row>
    <row r="11" spans="1:9" x14ac:dyDescent="0.2">
      <c r="A11" s="59" t="s">
        <v>271</v>
      </c>
      <c r="B11" s="60">
        <v>45608</v>
      </c>
      <c r="C11" s="61" t="s">
        <v>272</v>
      </c>
      <c r="D11" s="63"/>
      <c r="E11" s="63">
        <f t="shared" si="0"/>
        <v>18799.75</v>
      </c>
      <c r="F11" s="258">
        <v>2286.17</v>
      </c>
      <c r="G11" s="64">
        <f t="shared" si="1"/>
        <v>3805.71</v>
      </c>
      <c r="H11" s="64">
        <f t="shared" si="2"/>
        <v>14994.039999999999</v>
      </c>
    </row>
    <row r="12" spans="1:9" x14ac:dyDescent="0.2">
      <c r="A12" s="59" t="s">
        <v>357</v>
      </c>
      <c r="B12" s="60">
        <v>45642</v>
      </c>
      <c r="C12" s="61" t="s">
        <v>358</v>
      </c>
      <c r="D12" s="63"/>
      <c r="E12" s="63">
        <f t="shared" si="0"/>
        <v>18799.75</v>
      </c>
      <c r="F12" s="258">
        <v>3045.93</v>
      </c>
      <c r="G12" s="64">
        <f t="shared" si="1"/>
        <v>6851.6399999999994</v>
      </c>
      <c r="H12" s="64">
        <f t="shared" si="2"/>
        <v>11948.109999999999</v>
      </c>
    </row>
    <row r="13" spans="1:9" x14ac:dyDescent="0.2">
      <c r="A13" s="59"/>
      <c r="B13" s="60"/>
      <c r="C13" s="61"/>
      <c r="D13" s="63"/>
      <c r="E13" s="63">
        <f t="shared" si="0"/>
        <v>18799.75</v>
      </c>
      <c r="F13" s="67"/>
      <c r="G13" s="64">
        <f t="shared" si="1"/>
        <v>6851.6399999999994</v>
      </c>
      <c r="H13" s="64">
        <f t="shared" si="2"/>
        <v>11948.109999999999</v>
      </c>
    </row>
    <row r="14" spans="1:9" x14ac:dyDescent="0.2">
      <c r="A14" s="59"/>
      <c r="B14" s="60"/>
      <c r="C14" s="61"/>
      <c r="D14" s="63"/>
      <c r="E14" s="63">
        <f t="shared" si="0"/>
        <v>18799.75</v>
      </c>
      <c r="F14" s="64"/>
      <c r="G14" s="64">
        <f t="shared" si="1"/>
        <v>6851.6399999999994</v>
      </c>
      <c r="H14" s="64">
        <f t="shared" si="2"/>
        <v>11948.109999999999</v>
      </c>
    </row>
    <row r="15" spans="1:9" x14ac:dyDescent="0.2">
      <c r="A15" s="59"/>
      <c r="B15" s="60"/>
      <c r="C15" s="61"/>
      <c r="D15" s="63"/>
      <c r="E15" s="63">
        <f t="shared" si="0"/>
        <v>18799.75</v>
      </c>
      <c r="F15" s="67"/>
      <c r="G15" s="64">
        <f t="shared" si="1"/>
        <v>6851.6399999999994</v>
      </c>
      <c r="H15" s="64">
        <f t="shared" si="2"/>
        <v>11948.109999999999</v>
      </c>
    </row>
    <row r="16" spans="1:9" x14ac:dyDescent="0.2">
      <c r="A16" s="59"/>
      <c r="B16" s="60"/>
      <c r="C16" s="61"/>
      <c r="D16" s="63"/>
      <c r="E16" s="63">
        <f t="shared" si="0"/>
        <v>18799.75</v>
      </c>
      <c r="F16" s="67"/>
      <c r="G16" s="64">
        <f t="shared" si="1"/>
        <v>6851.6399999999994</v>
      </c>
      <c r="H16" s="64">
        <f t="shared" si="2"/>
        <v>11948.109999999999</v>
      </c>
    </row>
    <row r="17" spans="1:8" x14ac:dyDescent="0.2">
      <c r="A17" s="59"/>
      <c r="B17" s="60"/>
      <c r="C17" s="61"/>
      <c r="D17" s="63"/>
      <c r="E17" s="63">
        <f t="shared" si="0"/>
        <v>18799.75</v>
      </c>
      <c r="F17" s="67"/>
      <c r="G17" s="64">
        <f t="shared" si="1"/>
        <v>6851.6399999999994</v>
      </c>
      <c r="H17" s="64">
        <f t="shared" si="2"/>
        <v>11948.109999999999</v>
      </c>
    </row>
    <row r="18" spans="1:8" x14ac:dyDescent="0.2">
      <c r="A18" s="59"/>
      <c r="B18" s="60"/>
      <c r="C18" s="61"/>
      <c r="D18" s="63"/>
      <c r="E18" s="63">
        <f t="shared" si="0"/>
        <v>18799.75</v>
      </c>
      <c r="F18" s="67"/>
      <c r="G18" s="64">
        <f t="shared" si="1"/>
        <v>6851.6399999999994</v>
      </c>
      <c r="H18" s="64">
        <f t="shared" si="2"/>
        <v>11948.109999999999</v>
      </c>
    </row>
    <row r="19" spans="1:8" x14ac:dyDescent="0.2">
      <c r="A19" s="59"/>
      <c r="B19" s="60"/>
      <c r="C19" s="61"/>
      <c r="D19" s="63"/>
      <c r="E19" s="63">
        <f t="shared" si="0"/>
        <v>18799.75</v>
      </c>
      <c r="F19" s="64"/>
      <c r="G19" s="64">
        <f t="shared" si="1"/>
        <v>6851.6399999999994</v>
      </c>
      <c r="H19" s="64">
        <f t="shared" si="2"/>
        <v>11948.109999999999</v>
      </c>
    </row>
    <row r="20" spans="1:8" x14ac:dyDescent="0.2">
      <c r="A20" s="59"/>
      <c r="B20" s="60"/>
      <c r="C20" s="61"/>
      <c r="D20" s="63"/>
      <c r="E20" s="63">
        <f t="shared" si="0"/>
        <v>18799.75</v>
      </c>
      <c r="F20" s="64"/>
      <c r="G20" s="64">
        <f t="shared" si="1"/>
        <v>6851.6399999999994</v>
      </c>
      <c r="H20" s="64">
        <f t="shared" si="2"/>
        <v>11948.109999999999</v>
      </c>
    </row>
    <row r="21" spans="1:8" x14ac:dyDescent="0.2">
      <c r="A21" s="59"/>
      <c r="B21" s="60"/>
      <c r="C21" s="68"/>
      <c r="D21" s="63"/>
      <c r="E21" s="63">
        <f t="shared" si="0"/>
        <v>18799.75</v>
      </c>
      <c r="F21" s="64"/>
      <c r="G21" s="64">
        <f t="shared" si="1"/>
        <v>6851.6399999999994</v>
      </c>
      <c r="H21" s="64">
        <f t="shared" si="2"/>
        <v>11948.109999999999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18799.75</v>
      </c>
      <c r="E23" s="72"/>
      <c r="F23" s="72">
        <f>SUM(F9:F22)</f>
        <v>6851.6399999999994</v>
      </c>
      <c r="G23" s="72"/>
      <c r="H23" s="72">
        <f>D23-F23</f>
        <v>11948.11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18024.75</v>
      </c>
      <c r="E26" s="252"/>
      <c r="F26" s="252">
        <f>1519.54+2141.17+2900.93</f>
        <v>6561.6399999999994</v>
      </c>
      <c r="G26" s="252"/>
      <c r="H26" s="252">
        <f>D26-F26</f>
        <v>11463.11</v>
      </c>
    </row>
    <row r="27" spans="1:8" x14ac:dyDescent="0.2">
      <c r="A27" s="73"/>
      <c r="B27" s="61"/>
      <c r="C27" s="251" t="s">
        <v>173</v>
      </c>
      <c r="D27" s="252">
        <v>775</v>
      </c>
      <c r="E27" s="252"/>
      <c r="F27" s="252">
        <f>145+145</f>
        <v>290</v>
      </c>
      <c r="G27" s="252"/>
      <c r="H27" s="252">
        <f>D27-F27</f>
        <v>485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18799.75</v>
      </c>
      <c r="E28" s="255"/>
      <c r="F28" s="254">
        <f>SUM(F26:F27)</f>
        <v>6851.6399999999994</v>
      </c>
      <c r="G28" s="255"/>
      <c r="H28" s="254">
        <f>SUM(H26:H27)</f>
        <v>11948.11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9:I27">
    <cfRule type="cellIs" dxfId="19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627"/>
  <sheetViews>
    <sheetView topLeftCell="A4" zoomScaleNormal="100" workbookViewId="0">
      <selection activeCell="L26" sqref="L2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#9451.00'!B1</f>
        <v>DOC ASP LUA A/C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#9451.00'!B2</f>
        <v>Project # 9451.00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#9451.00'!B3</f>
        <v>Program code 945100</v>
      </c>
      <c r="B3" s="5"/>
      <c r="C3" s="5"/>
      <c r="D3" s="4"/>
      <c r="E3" s="8" t="str">
        <f>'RECAP #9451.00'!E3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156</v>
      </c>
      <c r="F6" s="50"/>
      <c r="G6" s="51"/>
      <c r="H6" s="47"/>
      <c r="I6" s="42"/>
    </row>
    <row r="7" spans="1:10" s="35" customFormat="1" ht="15.75" x14ac:dyDescent="0.25">
      <c r="A7" s="13" t="str">
        <f>'RECAP #9451.00'!B6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8000</v>
      </c>
      <c r="F9" s="63">
        <f>E9</f>
        <v>8000</v>
      </c>
      <c r="G9" s="64"/>
      <c r="H9" s="64"/>
      <c r="I9" s="64">
        <f>F9</f>
        <v>8000</v>
      </c>
    </row>
    <row r="10" spans="1:10" x14ac:dyDescent="0.2">
      <c r="A10" s="257" t="s">
        <v>198</v>
      </c>
      <c r="B10" s="60">
        <v>45574</v>
      </c>
      <c r="C10" s="246">
        <v>2507</v>
      </c>
      <c r="D10" s="83" t="s">
        <v>221</v>
      </c>
      <c r="E10" s="63"/>
      <c r="F10" s="63">
        <f t="shared" ref="F10:F21" si="0">F9+E10</f>
        <v>8000</v>
      </c>
      <c r="G10" s="258">
        <f>74.92+27.35</f>
        <v>102.27000000000001</v>
      </c>
      <c r="H10" s="64">
        <f t="shared" ref="H10:H21" si="1">H9+G10</f>
        <v>102.27000000000001</v>
      </c>
      <c r="I10" s="64">
        <f t="shared" ref="I10:I21" si="2">I9-G10+E10</f>
        <v>7897.73</v>
      </c>
    </row>
    <row r="11" spans="1:10" x14ac:dyDescent="0.2">
      <c r="A11" s="257" t="s">
        <v>198</v>
      </c>
      <c r="B11" s="60">
        <v>45574</v>
      </c>
      <c r="C11" s="246">
        <v>9500</v>
      </c>
      <c r="D11" s="83" t="s">
        <v>222</v>
      </c>
      <c r="E11" s="63"/>
      <c r="F11" s="63">
        <f t="shared" si="0"/>
        <v>8000</v>
      </c>
      <c r="G11" s="258">
        <f>58.5+847</f>
        <v>905.5</v>
      </c>
      <c r="H11" s="64">
        <f t="shared" si="1"/>
        <v>1007.77</v>
      </c>
      <c r="I11" s="64">
        <f t="shared" si="2"/>
        <v>6992.23</v>
      </c>
    </row>
    <row r="12" spans="1:10" x14ac:dyDescent="0.2">
      <c r="A12" s="257" t="s">
        <v>268</v>
      </c>
      <c r="B12" s="60">
        <v>45603</v>
      </c>
      <c r="C12" s="246">
        <v>2507</v>
      </c>
      <c r="D12" s="83" t="s">
        <v>269</v>
      </c>
      <c r="E12" s="63"/>
      <c r="F12" s="63">
        <f t="shared" si="0"/>
        <v>8000</v>
      </c>
      <c r="G12" s="258">
        <f>95.67+194.93</f>
        <v>290.60000000000002</v>
      </c>
      <c r="H12" s="64">
        <f t="shared" si="1"/>
        <v>1298.3699999999999</v>
      </c>
      <c r="I12" s="64">
        <f t="shared" si="2"/>
        <v>6701.6299999999992</v>
      </c>
    </row>
    <row r="13" spans="1:10" x14ac:dyDescent="0.2">
      <c r="A13" s="257" t="s">
        <v>268</v>
      </c>
      <c r="B13" s="60">
        <v>45603</v>
      </c>
      <c r="C13" s="246">
        <v>9500</v>
      </c>
      <c r="D13" s="83" t="s">
        <v>270</v>
      </c>
      <c r="E13" s="63"/>
      <c r="F13" s="63">
        <f t="shared" si="0"/>
        <v>8000</v>
      </c>
      <c r="G13" s="258">
        <f>147.5+1790.8</f>
        <v>1938.3</v>
      </c>
      <c r="H13" s="64">
        <f t="shared" si="1"/>
        <v>3236.67</v>
      </c>
      <c r="I13" s="64">
        <f t="shared" si="2"/>
        <v>4763.329999999999</v>
      </c>
    </row>
    <row r="14" spans="1:10" x14ac:dyDescent="0.2">
      <c r="A14" s="257" t="s">
        <v>345</v>
      </c>
      <c r="B14" s="275">
        <v>45635</v>
      </c>
      <c r="C14" s="276">
        <v>2507</v>
      </c>
      <c r="D14" s="277" t="s">
        <v>346</v>
      </c>
      <c r="E14" s="63"/>
      <c r="F14" s="63">
        <f t="shared" si="0"/>
        <v>8000</v>
      </c>
      <c r="G14" s="258">
        <f>83.39+150.76</f>
        <v>234.14999999999998</v>
      </c>
      <c r="H14" s="64">
        <f t="shared" si="1"/>
        <v>3470.82</v>
      </c>
      <c r="I14" s="64">
        <f t="shared" si="2"/>
        <v>4529.1799999999994</v>
      </c>
    </row>
    <row r="15" spans="1:10" x14ac:dyDescent="0.2">
      <c r="A15" s="257" t="s">
        <v>345</v>
      </c>
      <c r="B15" s="275">
        <v>45635</v>
      </c>
      <c r="C15" s="276">
        <v>9500</v>
      </c>
      <c r="D15" s="278" t="s">
        <v>347</v>
      </c>
      <c r="E15" s="63"/>
      <c r="F15" s="63">
        <f t="shared" si="0"/>
        <v>8000</v>
      </c>
      <c r="G15" s="258">
        <f>104+1450.9</f>
        <v>1554.9</v>
      </c>
      <c r="H15" s="64">
        <f t="shared" si="1"/>
        <v>5025.72</v>
      </c>
      <c r="I15" s="64">
        <f t="shared" si="2"/>
        <v>2974.2799999999993</v>
      </c>
    </row>
    <row r="16" spans="1:10" x14ac:dyDescent="0.2">
      <c r="A16" s="85"/>
      <c r="B16" s="60"/>
      <c r="C16" s="60"/>
      <c r="D16" s="83"/>
      <c r="E16" s="63"/>
      <c r="F16" s="63">
        <f t="shared" si="0"/>
        <v>8000</v>
      </c>
      <c r="G16" s="67"/>
      <c r="H16" s="64">
        <f t="shared" si="1"/>
        <v>5025.72</v>
      </c>
      <c r="I16" s="64">
        <f t="shared" si="2"/>
        <v>2974.2799999999993</v>
      </c>
    </row>
    <row r="17" spans="1:9" x14ac:dyDescent="0.2">
      <c r="A17" s="85"/>
      <c r="B17" s="60"/>
      <c r="C17" s="60"/>
      <c r="D17" s="83"/>
      <c r="E17" s="63"/>
      <c r="F17" s="63">
        <f t="shared" si="0"/>
        <v>8000</v>
      </c>
      <c r="G17" s="67"/>
      <c r="H17" s="64">
        <f t="shared" si="1"/>
        <v>5025.72</v>
      </c>
      <c r="I17" s="64">
        <f t="shared" si="2"/>
        <v>2974.2799999999993</v>
      </c>
    </row>
    <row r="18" spans="1:9" x14ac:dyDescent="0.2">
      <c r="A18" s="85"/>
      <c r="B18" s="60"/>
      <c r="C18" s="60"/>
      <c r="D18" s="83"/>
      <c r="E18" s="63"/>
      <c r="F18" s="63">
        <f t="shared" si="0"/>
        <v>8000</v>
      </c>
      <c r="G18" s="67"/>
      <c r="H18" s="64">
        <f t="shared" si="1"/>
        <v>5025.72</v>
      </c>
      <c r="I18" s="64">
        <f t="shared" si="2"/>
        <v>2974.2799999999993</v>
      </c>
    </row>
    <row r="19" spans="1:9" x14ac:dyDescent="0.2">
      <c r="A19" s="82"/>
      <c r="B19" s="60"/>
      <c r="C19" s="60"/>
      <c r="D19" s="83"/>
      <c r="E19" s="63"/>
      <c r="F19" s="63">
        <f t="shared" si="0"/>
        <v>8000</v>
      </c>
      <c r="G19" s="67"/>
      <c r="H19" s="64">
        <f t="shared" si="1"/>
        <v>5025.72</v>
      </c>
      <c r="I19" s="64">
        <f t="shared" si="2"/>
        <v>2974.2799999999993</v>
      </c>
    </row>
    <row r="20" spans="1:9" x14ac:dyDescent="0.2">
      <c r="A20" s="82"/>
      <c r="B20" s="60"/>
      <c r="C20" s="60"/>
      <c r="D20" s="83"/>
      <c r="E20" s="63"/>
      <c r="F20" s="63">
        <f t="shared" si="0"/>
        <v>8000</v>
      </c>
      <c r="G20" s="64"/>
      <c r="H20" s="64">
        <f t="shared" si="1"/>
        <v>5025.72</v>
      </c>
      <c r="I20" s="64">
        <f t="shared" si="2"/>
        <v>2974.2799999999993</v>
      </c>
    </row>
    <row r="21" spans="1:9" x14ac:dyDescent="0.2">
      <c r="A21" s="82"/>
      <c r="B21" s="60"/>
      <c r="C21" s="60"/>
      <c r="D21" s="86"/>
      <c r="E21" s="63"/>
      <c r="F21" s="63">
        <f t="shared" si="0"/>
        <v>8000</v>
      </c>
      <c r="G21" s="64"/>
      <c r="H21" s="64">
        <f t="shared" si="1"/>
        <v>5025.72</v>
      </c>
      <c r="I21" s="64">
        <f t="shared" si="2"/>
        <v>2974.2799999999993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8000</v>
      </c>
      <c r="F23" s="72"/>
      <c r="G23" s="72">
        <f>SUM(G9:G22)</f>
        <v>5025.72</v>
      </c>
      <c r="H23" s="72"/>
      <c r="I23" s="72">
        <f>E23-G23</f>
        <v>2974.2799999999997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257"/>
      <c r="E36" s="60"/>
      <c r="F36" s="246"/>
      <c r="G36" s="83"/>
      <c r="H36" s="75"/>
      <c r="I36" s="45"/>
    </row>
    <row r="37" spans="1:9" x14ac:dyDescent="0.2">
      <c r="A37" s="73"/>
      <c r="B37" s="61"/>
      <c r="C37" s="61"/>
      <c r="D37" s="257"/>
      <c r="E37" s="60"/>
      <c r="F37" s="246"/>
      <c r="G37" s="83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#9451.00'!B1</f>
        <v>DOC ASP LUA A/C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#9451.00'!B2</f>
        <v>Project # 9451.00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#9451.00'!B3</f>
        <v>Program code 945100</v>
      </c>
      <c r="E3" s="8" t="str">
        <f>'RECAP #9451.00'!E3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299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#9451.00'!B6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V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#9451.00'!B1</f>
        <v>DOC ASP LUA A/C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#9451.00'!B2</f>
        <v>Project # 9451.00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#9451.00'!B3</f>
        <v>Program code 945100</v>
      </c>
      <c r="B3" s="5"/>
      <c r="C3" s="4"/>
      <c r="D3" s="8" t="str">
        <f>'RECAP #9451.00'!E3</f>
        <v>Major Program 4B01</v>
      </c>
      <c r="E3" s="4"/>
      <c r="F3" s="34"/>
      <c r="G3" s="34"/>
    </row>
    <row r="4" spans="1:9" s="35" customFormat="1" ht="15.75" x14ac:dyDescent="0.25">
      <c r="A4" s="36" t="s">
        <v>227</v>
      </c>
      <c r="B4" s="37"/>
      <c r="C4" s="38"/>
      <c r="D4" s="39" t="s">
        <v>230</v>
      </c>
      <c r="E4" s="40"/>
      <c r="F4" s="34"/>
      <c r="G4" s="34"/>
    </row>
    <row r="5" spans="1:9" s="35" customFormat="1" ht="15.75" x14ac:dyDescent="0.25">
      <c r="A5" s="41" t="s">
        <v>229</v>
      </c>
      <c r="B5" s="42"/>
      <c r="C5" s="43"/>
      <c r="D5" s="44" t="s">
        <v>298</v>
      </c>
      <c r="E5" s="45"/>
      <c r="F5" s="46"/>
      <c r="G5" s="47"/>
      <c r="H5" s="42"/>
    </row>
    <row r="6" spans="1:9" s="35" customFormat="1" ht="15.75" x14ac:dyDescent="0.25">
      <c r="A6" s="13" t="str">
        <f>'RECAP #9451.00'!B6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300</v>
      </c>
      <c r="B9" s="60">
        <v>45611</v>
      </c>
      <c r="C9" s="61" t="s">
        <v>167</v>
      </c>
      <c r="D9" s="247">
        <v>34348</v>
      </c>
      <c r="E9" s="63">
        <f>D9</f>
        <v>34348</v>
      </c>
      <c r="F9" s="64"/>
      <c r="G9" s="64"/>
      <c r="H9" s="64">
        <f>E9</f>
        <v>34348</v>
      </c>
    </row>
    <row r="10" spans="1:9" x14ac:dyDescent="0.2">
      <c r="A10" s="59" t="s">
        <v>363</v>
      </c>
      <c r="B10" s="66">
        <v>45645</v>
      </c>
      <c r="C10" s="61" t="s">
        <v>364</v>
      </c>
      <c r="D10" s="63"/>
      <c r="E10" s="63">
        <f t="shared" ref="E10:E21" si="0">E9+D10</f>
        <v>34348</v>
      </c>
      <c r="F10" s="258">
        <v>10656</v>
      </c>
      <c r="G10" s="64">
        <f t="shared" ref="G10:G21" si="1">G9+F10</f>
        <v>10656</v>
      </c>
      <c r="H10" s="64">
        <f t="shared" ref="H10:H21" si="2">H9-F10+D10</f>
        <v>23692</v>
      </c>
    </row>
    <row r="11" spans="1:9" x14ac:dyDescent="0.2">
      <c r="A11" s="59"/>
      <c r="B11" s="60"/>
      <c r="C11" s="61"/>
      <c r="D11" s="63"/>
      <c r="E11" s="63">
        <f t="shared" si="0"/>
        <v>34348</v>
      </c>
      <c r="F11" s="67"/>
      <c r="G11" s="64">
        <f t="shared" si="1"/>
        <v>10656</v>
      </c>
      <c r="H11" s="64">
        <f t="shared" si="2"/>
        <v>23692</v>
      </c>
    </row>
    <row r="12" spans="1:9" x14ac:dyDescent="0.2">
      <c r="A12" s="59"/>
      <c r="B12" s="60"/>
      <c r="C12" s="61"/>
      <c r="D12" s="63"/>
      <c r="E12" s="63">
        <f t="shared" si="0"/>
        <v>34348</v>
      </c>
      <c r="F12" s="67"/>
      <c r="G12" s="64">
        <f t="shared" si="1"/>
        <v>10656</v>
      </c>
      <c r="H12" s="64">
        <f t="shared" si="2"/>
        <v>23692</v>
      </c>
    </row>
    <row r="13" spans="1:9" x14ac:dyDescent="0.2">
      <c r="A13" s="59"/>
      <c r="B13" s="60"/>
      <c r="C13" s="61"/>
      <c r="D13" s="63"/>
      <c r="E13" s="63">
        <f t="shared" si="0"/>
        <v>34348</v>
      </c>
      <c r="F13" s="67"/>
      <c r="G13" s="64">
        <f t="shared" si="1"/>
        <v>10656</v>
      </c>
      <c r="H13" s="64">
        <f t="shared" si="2"/>
        <v>23692</v>
      </c>
    </row>
    <row r="14" spans="1:9" x14ac:dyDescent="0.2">
      <c r="A14" s="59"/>
      <c r="B14" s="60"/>
      <c r="C14" s="61"/>
      <c r="D14" s="63"/>
      <c r="E14" s="63">
        <f t="shared" si="0"/>
        <v>34348</v>
      </c>
      <c r="F14" s="64"/>
      <c r="G14" s="64">
        <f t="shared" si="1"/>
        <v>10656</v>
      </c>
      <c r="H14" s="64">
        <f t="shared" si="2"/>
        <v>23692</v>
      </c>
    </row>
    <row r="15" spans="1:9" x14ac:dyDescent="0.2">
      <c r="A15" s="59"/>
      <c r="B15" s="60"/>
      <c r="C15" s="61"/>
      <c r="D15" s="63"/>
      <c r="E15" s="63">
        <f t="shared" si="0"/>
        <v>34348</v>
      </c>
      <c r="F15" s="67"/>
      <c r="G15" s="64">
        <f t="shared" si="1"/>
        <v>10656</v>
      </c>
      <c r="H15" s="64">
        <f t="shared" si="2"/>
        <v>23692</v>
      </c>
    </row>
    <row r="16" spans="1:9" x14ac:dyDescent="0.2">
      <c r="A16" s="59"/>
      <c r="B16" s="60"/>
      <c r="C16" s="61"/>
      <c r="D16" s="63"/>
      <c r="E16" s="63">
        <f t="shared" si="0"/>
        <v>34348</v>
      </c>
      <c r="F16" s="67"/>
      <c r="G16" s="64">
        <f t="shared" si="1"/>
        <v>10656</v>
      </c>
      <c r="H16" s="64">
        <f t="shared" si="2"/>
        <v>23692</v>
      </c>
    </row>
    <row r="17" spans="1:8" x14ac:dyDescent="0.2">
      <c r="A17" s="59"/>
      <c r="B17" s="60"/>
      <c r="C17" s="61"/>
      <c r="D17" s="63"/>
      <c r="E17" s="63">
        <f t="shared" si="0"/>
        <v>34348</v>
      </c>
      <c r="F17" s="67"/>
      <c r="G17" s="64">
        <f t="shared" si="1"/>
        <v>10656</v>
      </c>
      <c r="H17" s="64">
        <f t="shared" si="2"/>
        <v>23692</v>
      </c>
    </row>
    <row r="18" spans="1:8" x14ac:dyDescent="0.2">
      <c r="A18" s="59"/>
      <c r="B18" s="60"/>
      <c r="C18" s="61"/>
      <c r="D18" s="63"/>
      <c r="E18" s="63">
        <f t="shared" si="0"/>
        <v>34348</v>
      </c>
      <c r="F18" s="67"/>
      <c r="G18" s="64">
        <f t="shared" si="1"/>
        <v>10656</v>
      </c>
      <c r="H18" s="64">
        <f t="shared" si="2"/>
        <v>23692</v>
      </c>
    </row>
    <row r="19" spans="1:8" x14ac:dyDescent="0.2">
      <c r="A19" s="59"/>
      <c r="B19" s="60"/>
      <c r="C19" s="61"/>
      <c r="D19" s="63"/>
      <c r="E19" s="63">
        <f t="shared" si="0"/>
        <v>34348</v>
      </c>
      <c r="F19" s="64"/>
      <c r="G19" s="64">
        <f t="shared" si="1"/>
        <v>10656</v>
      </c>
      <c r="H19" s="64">
        <f t="shared" si="2"/>
        <v>23692</v>
      </c>
    </row>
    <row r="20" spans="1:8" x14ac:dyDescent="0.2">
      <c r="A20" s="59"/>
      <c r="B20" s="60"/>
      <c r="C20" s="61"/>
      <c r="D20" s="63"/>
      <c r="E20" s="63">
        <f t="shared" si="0"/>
        <v>34348</v>
      </c>
      <c r="F20" s="64"/>
      <c r="G20" s="64">
        <f t="shared" si="1"/>
        <v>10656</v>
      </c>
      <c r="H20" s="64">
        <f t="shared" si="2"/>
        <v>23692</v>
      </c>
    </row>
    <row r="21" spans="1:8" x14ac:dyDescent="0.2">
      <c r="A21" s="59"/>
      <c r="B21" s="60"/>
      <c r="C21" s="68"/>
      <c r="D21" s="63"/>
      <c r="E21" s="63">
        <f t="shared" si="0"/>
        <v>34348</v>
      </c>
      <c r="F21" s="64"/>
      <c r="G21" s="64">
        <f t="shared" si="1"/>
        <v>10656</v>
      </c>
      <c r="H21" s="64">
        <f t="shared" si="2"/>
        <v>23692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34348</v>
      </c>
      <c r="E23" s="72"/>
      <c r="F23" s="72">
        <f>SUM(F9:F22)</f>
        <v>10656</v>
      </c>
      <c r="G23" s="72"/>
      <c r="H23" s="72">
        <f>D23-F23</f>
        <v>23692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301</v>
      </c>
      <c r="D26" s="252">
        <v>21312</v>
      </c>
      <c r="E26" s="252"/>
      <c r="F26" s="252">
        <f>10656</f>
        <v>10656</v>
      </c>
      <c r="G26" s="252"/>
      <c r="H26" s="252">
        <f>D26-F26</f>
        <v>10656</v>
      </c>
    </row>
    <row r="27" spans="1:8" x14ac:dyDescent="0.2">
      <c r="A27" s="73"/>
      <c r="B27" s="61"/>
      <c r="C27" s="251" t="s">
        <v>302</v>
      </c>
      <c r="D27" s="252">
        <v>1656</v>
      </c>
      <c r="E27" s="252"/>
      <c r="F27" s="252"/>
      <c r="G27" s="252"/>
      <c r="H27" s="252">
        <f>D27-F27</f>
        <v>1656</v>
      </c>
    </row>
    <row r="28" spans="1:8" x14ac:dyDescent="0.2">
      <c r="A28" s="73"/>
      <c r="B28" s="61"/>
      <c r="C28" s="251" t="s">
        <v>208</v>
      </c>
      <c r="D28" s="252">
        <v>11380</v>
      </c>
      <c r="E28" s="252"/>
      <c r="F28" s="252"/>
      <c r="G28" s="252"/>
      <c r="H28" s="252">
        <f>D28-F28</f>
        <v>11380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34348</v>
      </c>
      <c r="E29" s="255"/>
      <c r="F29" s="254">
        <f>SUM(F26:F28)</f>
        <v>10656</v>
      </c>
      <c r="G29" s="255"/>
      <c r="H29" s="254">
        <f>SUM(H26:H28)</f>
        <v>23692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s="80" customFormat="1" x14ac:dyDescent="0.2">
      <c r="A50" s="76"/>
      <c r="B50" s="77"/>
      <c r="C50" s="78"/>
      <c r="D50" s="65"/>
      <c r="E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s="80" customFormat="1" x14ac:dyDescent="0.2">
      <c r="A51" s="76"/>
      <c r="B51" s="77"/>
      <c r="C51" s="78"/>
      <c r="D51" s="65"/>
      <c r="E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</sheetData>
  <conditionalFormatting sqref="I9:I28">
    <cfRule type="cellIs" dxfId="18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24"/>
  <sheetViews>
    <sheetView zoomScaleNormal="100" workbookViewId="0">
      <selection activeCell="C24" sqref="C2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114</v>
      </c>
      <c r="C1" s="3"/>
    </row>
    <row r="2" spans="1:8" ht="15.75" x14ac:dyDescent="0.25">
      <c r="B2" s="6" t="s">
        <v>131</v>
      </c>
    </row>
    <row r="3" spans="1:8" ht="15.75" x14ac:dyDescent="0.25">
      <c r="B3" s="7" t="s">
        <v>132</v>
      </c>
      <c r="E3" s="8" t="s">
        <v>133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FINANCIAL!G27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386</v>
      </c>
      <c r="C10" s="26"/>
      <c r="D10" s="24">
        <f>'#9452.00 Innovative Engineers'!D23</f>
        <v>24875</v>
      </c>
      <c r="E10" s="24">
        <f>'#9452.00 Innovative Engineers'!F23</f>
        <v>0</v>
      </c>
      <c r="F10" s="24">
        <f>'#9452.00 Innovative Engineers'!H23</f>
        <v>24875</v>
      </c>
      <c r="G10" s="25"/>
      <c r="H10" s="17"/>
    </row>
    <row r="11" spans="1:8" x14ac:dyDescent="0.2">
      <c r="B11" s="5" t="s">
        <v>14</v>
      </c>
      <c r="C11" s="26"/>
      <c r="D11" s="24">
        <f>'#9452.00 PM TIME '!E23</f>
        <v>12000</v>
      </c>
      <c r="E11" s="24">
        <f>'#9452.00 PM TIME '!G23</f>
        <v>1521.79</v>
      </c>
      <c r="F11" s="24">
        <f>'#9452.00 PM TIME '!I23</f>
        <v>10478.209999999999</v>
      </c>
      <c r="G11" s="25"/>
      <c r="H11" s="17"/>
    </row>
    <row r="12" spans="1:8" x14ac:dyDescent="0.2">
      <c r="B12" s="5" t="s">
        <v>15</v>
      </c>
      <c r="C12" s="27"/>
      <c r="D12" s="28">
        <f>'#9452.00 Misc '!G22</f>
        <v>0</v>
      </c>
      <c r="E12" s="28">
        <f>'#9452.00 Misc 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300000</v>
      </c>
      <c r="D14" s="32">
        <f>SUM(D8:D13)</f>
        <v>36875</v>
      </c>
      <c r="E14" s="32">
        <f>SUM(E8:E13)</f>
        <v>1521.79</v>
      </c>
      <c r="F14" s="32">
        <f>SUM(D14-E14)</f>
        <v>35353.21</v>
      </c>
      <c r="G14" s="32">
        <f>C14-D14</f>
        <v>263125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629"/>
  <sheetViews>
    <sheetView zoomScaleNormal="100" workbookViewId="0">
      <selection activeCell="H3" sqref="H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6.710937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140625" style="65" customWidth="1"/>
    <col min="9" max="16384" width="11.42578125" style="65"/>
  </cols>
  <sheetData>
    <row r="1" spans="1:9" s="35" customFormat="1" ht="24.75" customHeight="1" x14ac:dyDescent="0.25">
      <c r="A1" s="2" t="str">
        <f>'RECAP #9452.00'!B1</f>
        <v>HHS CHMHI Generator Controller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#9452.00'!B2</f>
        <v>Project # 9452.00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#9452.00'!B3</f>
        <v>Program code 945200</v>
      </c>
      <c r="B3" s="5"/>
      <c r="C3" s="4"/>
      <c r="D3" s="8" t="str">
        <f>'RECAP #9452.00'!E3</f>
        <v>Major Program 4B02</v>
      </c>
      <c r="E3" s="4"/>
      <c r="F3" s="34"/>
      <c r="G3" s="34"/>
    </row>
    <row r="4" spans="1:9" s="35" customFormat="1" ht="15.75" x14ac:dyDescent="0.25">
      <c r="A4" s="36" t="s">
        <v>386</v>
      </c>
      <c r="B4" s="37"/>
      <c r="C4" s="38"/>
      <c r="D4" s="39" t="s">
        <v>387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388</v>
      </c>
      <c r="E5" s="45"/>
      <c r="F5" s="46"/>
      <c r="G5" s="47"/>
      <c r="H5" s="42"/>
    </row>
    <row r="6" spans="1:9" s="35" customFormat="1" ht="15.75" x14ac:dyDescent="0.25">
      <c r="A6" s="13" t="str">
        <f>'RECAP #9452.00'!B6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389</v>
      </c>
      <c r="B9" s="60">
        <v>45653</v>
      </c>
      <c r="C9" s="61" t="s">
        <v>167</v>
      </c>
      <c r="D9" s="247">
        <v>24875</v>
      </c>
      <c r="E9" s="63">
        <f>D9</f>
        <v>24875</v>
      </c>
      <c r="F9" s="64"/>
      <c r="G9" s="64"/>
      <c r="H9" s="64">
        <f>E9</f>
        <v>24875</v>
      </c>
    </row>
    <row r="10" spans="1:9" x14ac:dyDescent="0.2">
      <c r="A10" s="59"/>
      <c r="B10" s="66"/>
      <c r="C10" s="61"/>
      <c r="D10" s="63"/>
      <c r="E10" s="63">
        <f t="shared" ref="E10:E21" si="0">E9+D10</f>
        <v>24875</v>
      </c>
      <c r="F10" s="67"/>
      <c r="G10" s="64">
        <f t="shared" ref="G10:G21" si="1">G9+F10</f>
        <v>0</v>
      </c>
      <c r="H10" s="64">
        <f t="shared" ref="H10:H21" si="2">H9-F10+D10</f>
        <v>24875</v>
      </c>
    </row>
    <row r="11" spans="1:9" x14ac:dyDescent="0.2">
      <c r="A11" s="59"/>
      <c r="B11" s="60"/>
      <c r="C11" s="61"/>
      <c r="D11" s="63"/>
      <c r="E11" s="63">
        <f t="shared" si="0"/>
        <v>24875</v>
      </c>
      <c r="F11" s="67"/>
      <c r="G11" s="64">
        <f t="shared" si="1"/>
        <v>0</v>
      </c>
      <c r="H11" s="64">
        <f t="shared" si="2"/>
        <v>24875</v>
      </c>
    </row>
    <row r="12" spans="1:9" x14ac:dyDescent="0.2">
      <c r="A12" s="59"/>
      <c r="B12" s="60"/>
      <c r="C12" s="61"/>
      <c r="D12" s="63"/>
      <c r="E12" s="63">
        <f t="shared" si="0"/>
        <v>24875</v>
      </c>
      <c r="F12" s="67"/>
      <c r="G12" s="64">
        <f t="shared" si="1"/>
        <v>0</v>
      </c>
      <c r="H12" s="64">
        <f t="shared" si="2"/>
        <v>24875</v>
      </c>
    </row>
    <row r="13" spans="1:9" x14ac:dyDescent="0.2">
      <c r="A13" s="59"/>
      <c r="B13" s="60"/>
      <c r="C13" s="61"/>
      <c r="D13" s="63"/>
      <c r="E13" s="63">
        <f t="shared" si="0"/>
        <v>24875</v>
      </c>
      <c r="F13" s="67"/>
      <c r="G13" s="64">
        <f t="shared" si="1"/>
        <v>0</v>
      </c>
      <c r="H13" s="64">
        <f t="shared" si="2"/>
        <v>24875</v>
      </c>
    </row>
    <row r="14" spans="1:9" x14ac:dyDescent="0.2">
      <c r="A14" s="59"/>
      <c r="B14" s="60"/>
      <c r="C14" s="61"/>
      <c r="D14" s="63"/>
      <c r="E14" s="63">
        <f t="shared" si="0"/>
        <v>24875</v>
      </c>
      <c r="F14" s="64"/>
      <c r="G14" s="64">
        <f t="shared" si="1"/>
        <v>0</v>
      </c>
      <c r="H14" s="64">
        <f t="shared" si="2"/>
        <v>24875</v>
      </c>
    </row>
    <row r="15" spans="1:9" x14ac:dyDescent="0.2">
      <c r="A15" s="59"/>
      <c r="B15" s="60"/>
      <c r="C15" s="61"/>
      <c r="D15" s="63"/>
      <c r="E15" s="63">
        <f t="shared" si="0"/>
        <v>24875</v>
      </c>
      <c r="F15" s="67"/>
      <c r="G15" s="64">
        <f t="shared" si="1"/>
        <v>0</v>
      </c>
      <c r="H15" s="64">
        <f t="shared" si="2"/>
        <v>24875</v>
      </c>
    </row>
    <row r="16" spans="1:9" x14ac:dyDescent="0.2">
      <c r="A16" s="59"/>
      <c r="B16" s="60"/>
      <c r="C16" s="61"/>
      <c r="D16" s="63"/>
      <c r="E16" s="63">
        <f t="shared" si="0"/>
        <v>24875</v>
      </c>
      <c r="F16" s="67"/>
      <c r="G16" s="64">
        <f t="shared" si="1"/>
        <v>0</v>
      </c>
      <c r="H16" s="64">
        <f t="shared" si="2"/>
        <v>24875</v>
      </c>
    </row>
    <row r="17" spans="1:8" x14ac:dyDescent="0.2">
      <c r="A17" s="59"/>
      <c r="B17" s="60"/>
      <c r="C17" s="61"/>
      <c r="D17" s="63"/>
      <c r="E17" s="63">
        <f t="shared" si="0"/>
        <v>24875</v>
      </c>
      <c r="F17" s="67"/>
      <c r="G17" s="64">
        <f t="shared" si="1"/>
        <v>0</v>
      </c>
      <c r="H17" s="64">
        <f t="shared" si="2"/>
        <v>24875</v>
      </c>
    </row>
    <row r="18" spans="1:8" x14ac:dyDescent="0.2">
      <c r="A18" s="59"/>
      <c r="B18" s="60"/>
      <c r="C18" s="61"/>
      <c r="D18" s="63"/>
      <c r="E18" s="63">
        <f t="shared" si="0"/>
        <v>24875</v>
      </c>
      <c r="F18" s="67"/>
      <c r="G18" s="64">
        <f t="shared" si="1"/>
        <v>0</v>
      </c>
      <c r="H18" s="64">
        <f t="shared" si="2"/>
        <v>24875</v>
      </c>
    </row>
    <row r="19" spans="1:8" x14ac:dyDescent="0.2">
      <c r="A19" s="59"/>
      <c r="B19" s="60"/>
      <c r="C19" s="61"/>
      <c r="D19" s="63"/>
      <c r="E19" s="63">
        <f t="shared" si="0"/>
        <v>24875</v>
      </c>
      <c r="F19" s="64"/>
      <c r="G19" s="64">
        <f t="shared" si="1"/>
        <v>0</v>
      </c>
      <c r="H19" s="64">
        <f t="shared" si="2"/>
        <v>24875</v>
      </c>
    </row>
    <row r="20" spans="1:8" x14ac:dyDescent="0.2">
      <c r="A20" s="59"/>
      <c r="B20" s="60"/>
      <c r="C20" s="61"/>
      <c r="D20" s="63"/>
      <c r="E20" s="63">
        <f t="shared" si="0"/>
        <v>24875</v>
      </c>
      <c r="F20" s="64"/>
      <c r="G20" s="64">
        <f t="shared" si="1"/>
        <v>0</v>
      </c>
      <c r="H20" s="64">
        <f t="shared" si="2"/>
        <v>24875</v>
      </c>
    </row>
    <row r="21" spans="1:8" x14ac:dyDescent="0.2">
      <c r="A21" s="59"/>
      <c r="B21" s="60"/>
      <c r="C21" s="68"/>
      <c r="D21" s="63"/>
      <c r="E21" s="63">
        <f t="shared" si="0"/>
        <v>24875</v>
      </c>
      <c r="F21" s="64"/>
      <c r="G21" s="64">
        <f t="shared" si="1"/>
        <v>0</v>
      </c>
      <c r="H21" s="64">
        <f t="shared" si="2"/>
        <v>24875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24875</v>
      </c>
      <c r="E23" s="72"/>
      <c r="F23" s="72">
        <f>SUM(F9:F22)</f>
        <v>0</v>
      </c>
      <c r="G23" s="72"/>
      <c r="H23" s="72">
        <f>D23-F23</f>
        <v>24875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326</v>
      </c>
      <c r="D26" s="252">
        <v>6825</v>
      </c>
      <c r="E26" s="252"/>
      <c r="F26" s="252"/>
      <c r="G26" s="252"/>
      <c r="H26" s="252">
        <f>D26-F26</f>
        <v>6825</v>
      </c>
    </row>
    <row r="27" spans="1:8" x14ac:dyDescent="0.2">
      <c r="A27" s="73"/>
      <c r="B27" s="61"/>
      <c r="C27" s="251" t="s">
        <v>206</v>
      </c>
      <c r="D27" s="252">
        <v>8050</v>
      </c>
      <c r="E27" s="252"/>
      <c r="F27" s="252"/>
      <c r="G27" s="252"/>
      <c r="H27" s="252">
        <f t="shared" ref="H27:H30" si="3">D27-F27</f>
        <v>8050</v>
      </c>
    </row>
    <row r="28" spans="1:8" x14ac:dyDescent="0.2">
      <c r="A28" s="73"/>
      <c r="B28" s="61"/>
      <c r="C28" s="251" t="s">
        <v>385</v>
      </c>
      <c r="D28" s="252">
        <v>3785</v>
      </c>
      <c r="E28" s="252"/>
      <c r="F28" s="252"/>
      <c r="G28" s="252"/>
      <c r="H28" s="252">
        <f t="shared" si="3"/>
        <v>3785</v>
      </c>
    </row>
    <row r="29" spans="1:8" x14ac:dyDescent="0.2">
      <c r="A29" s="73"/>
      <c r="B29" s="61"/>
      <c r="C29" s="251" t="s">
        <v>208</v>
      </c>
      <c r="D29" s="252">
        <v>4670</v>
      </c>
      <c r="E29" s="252"/>
      <c r="F29" s="252"/>
      <c r="G29" s="252"/>
      <c r="H29" s="252">
        <f t="shared" si="3"/>
        <v>4670</v>
      </c>
    </row>
    <row r="30" spans="1:8" x14ac:dyDescent="0.2">
      <c r="A30" s="73"/>
      <c r="B30" s="61"/>
      <c r="C30" s="251" t="s">
        <v>390</v>
      </c>
      <c r="D30" s="252">
        <v>1545</v>
      </c>
      <c r="E30" s="252"/>
      <c r="F30" s="252"/>
      <c r="G30" s="252"/>
      <c r="H30" s="252">
        <f t="shared" si="3"/>
        <v>1545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24875</v>
      </c>
      <c r="E31" s="255"/>
      <c r="F31" s="254">
        <f>SUM(F26:F30)</f>
        <v>0</v>
      </c>
      <c r="G31" s="255"/>
      <c r="H31" s="254">
        <f>SUM(H26:H30)</f>
        <v>24875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</sheetData>
  <conditionalFormatting sqref="I9:I30">
    <cfRule type="cellIs" dxfId="17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627"/>
  <sheetViews>
    <sheetView zoomScaleNormal="100" workbookViewId="0">
      <selection activeCell="N17" sqref="N1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140625" style="65" customWidth="1"/>
    <col min="10" max="16384" width="11.42578125" style="65"/>
  </cols>
  <sheetData>
    <row r="1" spans="1:10" s="35" customFormat="1" ht="24.75" customHeight="1" x14ac:dyDescent="0.25">
      <c r="A1" s="2" t="str">
        <f>'RECAP #9452.00'!B1</f>
        <v>HHS CHMHI Generator Controller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#9452.00'!B2</f>
        <v>Project # 9452.00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#9452.00'!B3</f>
        <v>Program code 945200</v>
      </c>
      <c r="B3" s="5"/>
      <c r="C3" s="5"/>
      <c r="D3" s="4"/>
      <c r="E3" s="8" t="str">
        <f>'RECAP #9452.00'!E3</f>
        <v>Major Program 4B02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157</v>
      </c>
      <c r="F6" s="50"/>
      <c r="G6" s="51"/>
      <c r="H6" s="47"/>
      <c r="I6" s="42"/>
    </row>
    <row r="7" spans="1:10" s="35" customFormat="1" ht="15.75" x14ac:dyDescent="0.25">
      <c r="A7" s="13" t="str">
        <f>'RECAP #9452.00'!B6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12000</v>
      </c>
      <c r="F9" s="63">
        <f>E9</f>
        <v>12000</v>
      </c>
      <c r="G9" s="64"/>
      <c r="H9" s="64"/>
      <c r="I9" s="64">
        <f>F9</f>
        <v>12000</v>
      </c>
    </row>
    <row r="10" spans="1:10" x14ac:dyDescent="0.2">
      <c r="A10" s="257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12000</v>
      </c>
      <c r="G10" s="258">
        <f>28.36+58.2</f>
        <v>86.56</v>
      </c>
      <c r="H10" s="64">
        <f t="shared" ref="H10:H21" si="1">H9+G10</f>
        <v>86.56</v>
      </c>
      <c r="I10" s="64">
        <f t="shared" ref="I10:I21" si="2">I9-G10+E10</f>
        <v>11913.44</v>
      </c>
    </row>
    <row r="11" spans="1:10" x14ac:dyDescent="0.2">
      <c r="A11" s="257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12000</v>
      </c>
      <c r="G11" s="258">
        <f>43+532.4</f>
        <v>575.4</v>
      </c>
      <c r="H11" s="64">
        <f t="shared" si="1"/>
        <v>661.96</v>
      </c>
      <c r="I11" s="64">
        <f t="shared" si="2"/>
        <v>11338.04</v>
      </c>
    </row>
    <row r="12" spans="1:10" x14ac:dyDescent="0.2">
      <c r="A12" s="257" t="s">
        <v>345</v>
      </c>
      <c r="B12" s="275">
        <v>45635</v>
      </c>
      <c r="C12" s="276">
        <v>2507</v>
      </c>
      <c r="D12" s="277" t="s">
        <v>346</v>
      </c>
      <c r="E12" s="63"/>
      <c r="F12" s="63">
        <f t="shared" si="0"/>
        <v>12000</v>
      </c>
      <c r="G12" s="258">
        <f>40.21+72.22</f>
        <v>112.43</v>
      </c>
      <c r="H12" s="64">
        <f t="shared" si="1"/>
        <v>774.3900000000001</v>
      </c>
      <c r="I12" s="64">
        <f t="shared" si="2"/>
        <v>11225.61</v>
      </c>
    </row>
    <row r="13" spans="1:10" x14ac:dyDescent="0.2">
      <c r="A13" s="257" t="s">
        <v>345</v>
      </c>
      <c r="B13" s="275">
        <v>45635</v>
      </c>
      <c r="C13" s="276">
        <v>9500</v>
      </c>
      <c r="D13" s="278" t="s">
        <v>347</v>
      </c>
      <c r="E13" s="63"/>
      <c r="F13" s="63">
        <f t="shared" si="0"/>
        <v>12000</v>
      </c>
      <c r="G13" s="258">
        <f>50+697.4</f>
        <v>747.4</v>
      </c>
      <c r="H13" s="64">
        <f t="shared" si="1"/>
        <v>1521.79</v>
      </c>
      <c r="I13" s="64">
        <f t="shared" si="2"/>
        <v>10478.210000000001</v>
      </c>
    </row>
    <row r="14" spans="1:10" x14ac:dyDescent="0.2">
      <c r="A14" s="85"/>
      <c r="B14" s="60"/>
      <c r="C14" s="60"/>
      <c r="D14" s="83"/>
      <c r="E14" s="63"/>
      <c r="F14" s="63">
        <f t="shared" si="0"/>
        <v>12000</v>
      </c>
      <c r="G14" s="64"/>
      <c r="H14" s="64">
        <f t="shared" si="1"/>
        <v>1521.79</v>
      </c>
      <c r="I14" s="64">
        <f t="shared" si="2"/>
        <v>10478.210000000001</v>
      </c>
    </row>
    <row r="15" spans="1:10" x14ac:dyDescent="0.2">
      <c r="A15" s="85"/>
      <c r="B15" s="60"/>
      <c r="C15" s="60"/>
      <c r="D15" s="83"/>
      <c r="E15" s="63"/>
      <c r="F15" s="63">
        <f t="shared" si="0"/>
        <v>12000</v>
      </c>
      <c r="G15" s="67"/>
      <c r="H15" s="64">
        <f t="shared" si="1"/>
        <v>1521.79</v>
      </c>
      <c r="I15" s="64">
        <f t="shared" si="2"/>
        <v>10478.210000000001</v>
      </c>
    </row>
    <row r="16" spans="1:10" x14ac:dyDescent="0.2">
      <c r="A16" s="85"/>
      <c r="B16" s="60"/>
      <c r="C16" s="60"/>
      <c r="D16" s="83"/>
      <c r="E16" s="63"/>
      <c r="F16" s="63">
        <f t="shared" si="0"/>
        <v>12000</v>
      </c>
      <c r="G16" s="67"/>
      <c r="H16" s="64">
        <f t="shared" si="1"/>
        <v>1521.79</v>
      </c>
      <c r="I16" s="64">
        <f t="shared" si="2"/>
        <v>10478.210000000001</v>
      </c>
    </row>
    <row r="17" spans="1:9" x14ac:dyDescent="0.2">
      <c r="A17" s="85"/>
      <c r="B17" s="60"/>
      <c r="C17" s="60"/>
      <c r="D17" s="83"/>
      <c r="E17" s="63"/>
      <c r="F17" s="63">
        <f t="shared" si="0"/>
        <v>12000</v>
      </c>
      <c r="G17" s="67"/>
      <c r="H17" s="64">
        <f t="shared" si="1"/>
        <v>1521.79</v>
      </c>
      <c r="I17" s="64">
        <f t="shared" si="2"/>
        <v>10478.210000000001</v>
      </c>
    </row>
    <row r="18" spans="1:9" x14ac:dyDescent="0.2">
      <c r="A18" s="85"/>
      <c r="B18" s="60"/>
      <c r="C18" s="60"/>
      <c r="D18" s="83"/>
      <c r="E18" s="63"/>
      <c r="F18" s="63">
        <f t="shared" si="0"/>
        <v>12000</v>
      </c>
      <c r="G18" s="67"/>
      <c r="H18" s="64">
        <f t="shared" si="1"/>
        <v>1521.79</v>
      </c>
      <c r="I18" s="64">
        <f t="shared" si="2"/>
        <v>10478.210000000001</v>
      </c>
    </row>
    <row r="19" spans="1:9" x14ac:dyDescent="0.2">
      <c r="A19" s="82"/>
      <c r="B19" s="60"/>
      <c r="C19" s="60"/>
      <c r="D19" s="83"/>
      <c r="E19" s="63"/>
      <c r="F19" s="63">
        <f t="shared" si="0"/>
        <v>12000</v>
      </c>
      <c r="G19" s="64"/>
      <c r="H19" s="64">
        <f t="shared" si="1"/>
        <v>1521.79</v>
      </c>
      <c r="I19" s="64">
        <f t="shared" si="2"/>
        <v>10478.210000000001</v>
      </c>
    </row>
    <row r="20" spans="1:9" x14ac:dyDescent="0.2">
      <c r="A20" s="82"/>
      <c r="B20" s="60"/>
      <c r="C20" s="60"/>
      <c r="D20" s="83"/>
      <c r="E20" s="63"/>
      <c r="F20" s="63">
        <f t="shared" si="0"/>
        <v>12000</v>
      </c>
      <c r="G20" s="64"/>
      <c r="H20" s="64">
        <f t="shared" si="1"/>
        <v>1521.79</v>
      </c>
      <c r="I20" s="64">
        <f t="shared" si="2"/>
        <v>10478.210000000001</v>
      </c>
    </row>
    <row r="21" spans="1:9" x14ac:dyDescent="0.2">
      <c r="A21" s="82"/>
      <c r="B21" s="60"/>
      <c r="C21" s="60"/>
      <c r="D21" s="86"/>
      <c r="E21" s="63"/>
      <c r="F21" s="63">
        <f t="shared" si="0"/>
        <v>12000</v>
      </c>
      <c r="G21" s="64"/>
      <c r="H21" s="64">
        <f t="shared" si="1"/>
        <v>1521.79</v>
      </c>
      <c r="I21" s="64">
        <f t="shared" si="2"/>
        <v>10478.210000000001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12000</v>
      </c>
      <c r="F23" s="72"/>
      <c r="G23" s="72">
        <f>SUM(G9:G22)</f>
        <v>1521.79</v>
      </c>
      <c r="H23" s="72"/>
      <c r="I23" s="72">
        <f>E23-G23</f>
        <v>10478.209999999999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#9452.00'!B1</f>
        <v>HHS CHMHI Generator Controller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#9452.00'!B2</f>
        <v>Project # 9452.00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#9452.00'!B3</f>
        <v>Program code 945200</v>
      </c>
      <c r="E3" s="8" t="str">
        <f>'RECAP #9452.00'!E3</f>
        <v>Major Program 4B02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#9452.00'!B6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25"/>
  <sheetViews>
    <sheetView zoomScaleNormal="100" workbookViewId="0">
      <selection activeCell="K23" sqref="K2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115</v>
      </c>
      <c r="C1" s="3"/>
    </row>
    <row r="2" spans="1:8" ht="15.75" x14ac:dyDescent="0.25">
      <c r="B2" s="6" t="s">
        <v>134</v>
      </c>
    </row>
    <row r="3" spans="1:8" ht="15.75" x14ac:dyDescent="0.25">
      <c r="B3" s="7" t="s">
        <v>135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FINANCIAL!G28</f>
        <v>310000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'#9453.00 McGough Construction'!D23</f>
        <v>14911.74</v>
      </c>
      <c r="E10" s="24">
        <f>'#9453.00 McGough Construction'!F23</f>
        <v>2756.69</v>
      </c>
      <c r="F10" s="24">
        <f>'#9453.00 McGough Construction'!H23</f>
        <v>12155.05</v>
      </c>
      <c r="G10" s="25"/>
      <c r="H10" s="17"/>
    </row>
    <row r="11" spans="1:8" x14ac:dyDescent="0.2">
      <c r="B11" s="5" t="s">
        <v>14</v>
      </c>
      <c r="C11" s="26"/>
      <c r="D11" s="24">
        <f>'#9453.00 PM TIME'!E23</f>
        <v>6300</v>
      </c>
      <c r="E11" s="24">
        <f>'#9453.00 PM TIME'!G23</f>
        <v>2599.2800000000002</v>
      </c>
      <c r="F11" s="24">
        <f>'#9453.00 PM TIME'!I23</f>
        <v>3700.72</v>
      </c>
      <c r="G11" s="25"/>
      <c r="H11" s="17"/>
    </row>
    <row r="12" spans="1:8" x14ac:dyDescent="0.2">
      <c r="B12" s="5" t="s">
        <v>15</v>
      </c>
      <c r="C12" s="27"/>
      <c r="D12" s="28">
        <f>'#9453.00 Misc'!G22</f>
        <v>0</v>
      </c>
      <c r="E12" s="28">
        <f>'#9453.00 Misc'!G22</f>
        <v>0</v>
      </c>
      <c r="F12" s="24">
        <f>D12-E12</f>
        <v>0</v>
      </c>
      <c r="G12" s="25"/>
      <c r="H12" s="17"/>
    </row>
    <row r="13" spans="1:8" x14ac:dyDescent="0.2">
      <c r="B13" s="5" t="s">
        <v>312</v>
      </c>
      <c r="C13" s="27"/>
      <c r="D13" s="28">
        <f>'#9453.00 GenesisArchitectural'!D23</f>
        <v>15300</v>
      </c>
      <c r="E13" s="28">
        <f>'#9453.00 GenesisArchitectural'!F23</f>
        <v>0</v>
      </c>
      <c r="F13" s="24">
        <f>'#9453.00 GenesisArchitectural'!H23</f>
        <v>15300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310000</v>
      </c>
      <c r="D15" s="32">
        <f>SUM(D8:D14)</f>
        <v>36511.74</v>
      </c>
      <c r="E15" s="32">
        <f>SUM(E8:E14)</f>
        <v>5355.97</v>
      </c>
      <c r="F15" s="32">
        <f>SUM(D15-E15)</f>
        <v>31155.769999999997</v>
      </c>
      <c r="G15" s="32">
        <f>C15-D15</f>
        <v>273488.26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85546875" style="65" customWidth="1"/>
    <col min="9" max="16384" width="11.42578125" style="65"/>
  </cols>
  <sheetData>
    <row r="1" spans="1:9" s="35" customFormat="1" ht="24.75" customHeight="1" x14ac:dyDescent="0.25">
      <c r="A1" s="2" t="str">
        <f>'RECAP #9453.00'!B1</f>
        <v>DOC FDCF IPI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#9453.00'!B2</f>
        <v>Project # 9453.00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#9453.00'!B3</f>
        <v>Program code 945300</v>
      </c>
      <c r="B3" s="5"/>
      <c r="C3" s="4"/>
      <c r="D3" s="8" t="str">
        <f>'RECAP #9453.00'!E3</f>
        <v>Major Program 4B01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#9453.00'!B6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186</v>
      </c>
      <c r="B9" s="60">
        <v>45567</v>
      </c>
      <c r="C9" s="61" t="s">
        <v>167</v>
      </c>
      <c r="D9" s="247">
        <v>14911.74</v>
      </c>
      <c r="E9" s="63">
        <f>D9</f>
        <v>14911.74</v>
      </c>
      <c r="F9" s="64"/>
      <c r="G9" s="64"/>
      <c r="H9" s="64">
        <f>E9</f>
        <v>14911.74</v>
      </c>
    </row>
    <row r="10" spans="1:9" x14ac:dyDescent="0.2">
      <c r="A10" s="59" t="s">
        <v>310</v>
      </c>
      <c r="B10" s="66">
        <v>45615</v>
      </c>
      <c r="C10" s="61" t="s">
        <v>311</v>
      </c>
      <c r="D10" s="63"/>
      <c r="E10" s="63">
        <f t="shared" ref="E10:E21" si="0">E9+D10</f>
        <v>14911.74</v>
      </c>
      <c r="F10" s="258">
        <v>1826.29</v>
      </c>
      <c r="G10" s="64">
        <f t="shared" ref="G10:G21" si="1">G9+F10</f>
        <v>1826.29</v>
      </c>
      <c r="H10" s="64">
        <f t="shared" ref="H10:H21" si="2">H9-F10+D10</f>
        <v>13085.45</v>
      </c>
    </row>
    <row r="11" spans="1:9" x14ac:dyDescent="0.2">
      <c r="A11" s="59" t="s">
        <v>359</v>
      </c>
      <c r="B11" s="60">
        <v>45644</v>
      </c>
      <c r="C11" s="61" t="s">
        <v>360</v>
      </c>
      <c r="D11" s="63"/>
      <c r="E11" s="63">
        <f t="shared" si="0"/>
        <v>14911.74</v>
      </c>
      <c r="F11" s="258">
        <v>930.4</v>
      </c>
      <c r="G11" s="64">
        <f t="shared" si="1"/>
        <v>2756.69</v>
      </c>
      <c r="H11" s="64">
        <f t="shared" si="2"/>
        <v>12155.050000000001</v>
      </c>
    </row>
    <row r="12" spans="1:9" x14ac:dyDescent="0.2">
      <c r="A12" s="59"/>
      <c r="B12" s="60"/>
      <c r="C12" s="61"/>
      <c r="D12" s="63"/>
      <c r="E12" s="63">
        <f t="shared" si="0"/>
        <v>14911.74</v>
      </c>
      <c r="F12" s="67"/>
      <c r="G12" s="64">
        <f t="shared" si="1"/>
        <v>2756.69</v>
      </c>
      <c r="H12" s="64">
        <f t="shared" si="2"/>
        <v>12155.050000000001</v>
      </c>
    </row>
    <row r="13" spans="1:9" x14ac:dyDescent="0.2">
      <c r="A13" s="59"/>
      <c r="B13" s="60"/>
      <c r="C13" s="61"/>
      <c r="D13" s="63"/>
      <c r="E13" s="63">
        <f t="shared" si="0"/>
        <v>14911.74</v>
      </c>
      <c r="F13" s="67"/>
      <c r="G13" s="64">
        <f t="shared" si="1"/>
        <v>2756.69</v>
      </c>
      <c r="H13" s="64">
        <f t="shared" si="2"/>
        <v>12155.050000000001</v>
      </c>
    </row>
    <row r="14" spans="1:9" x14ac:dyDescent="0.2">
      <c r="A14" s="59"/>
      <c r="B14" s="60"/>
      <c r="C14" s="61"/>
      <c r="D14" s="63"/>
      <c r="E14" s="63">
        <f t="shared" si="0"/>
        <v>14911.74</v>
      </c>
      <c r="F14" s="64"/>
      <c r="G14" s="64">
        <f t="shared" si="1"/>
        <v>2756.69</v>
      </c>
      <c r="H14" s="64">
        <f t="shared" si="2"/>
        <v>12155.050000000001</v>
      </c>
    </row>
    <row r="15" spans="1:9" x14ac:dyDescent="0.2">
      <c r="A15" s="59"/>
      <c r="B15" s="60"/>
      <c r="C15" s="61"/>
      <c r="D15" s="63"/>
      <c r="E15" s="63">
        <f t="shared" si="0"/>
        <v>14911.74</v>
      </c>
      <c r="F15" s="67"/>
      <c r="G15" s="64">
        <f t="shared" si="1"/>
        <v>2756.69</v>
      </c>
      <c r="H15" s="64">
        <f t="shared" si="2"/>
        <v>12155.050000000001</v>
      </c>
    </row>
    <row r="16" spans="1:9" x14ac:dyDescent="0.2">
      <c r="A16" s="59"/>
      <c r="B16" s="60"/>
      <c r="C16" s="61"/>
      <c r="D16" s="63"/>
      <c r="E16" s="63">
        <f t="shared" si="0"/>
        <v>14911.74</v>
      </c>
      <c r="F16" s="67"/>
      <c r="G16" s="64">
        <f t="shared" si="1"/>
        <v>2756.69</v>
      </c>
      <c r="H16" s="64">
        <f t="shared" si="2"/>
        <v>12155.050000000001</v>
      </c>
    </row>
    <row r="17" spans="1:8" x14ac:dyDescent="0.2">
      <c r="A17" s="59"/>
      <c r="B17" s="60"/>
      <c r="C17" s="61"/>
      <c r="D17" s="63"/>
      <c r="E17" s="63">
        <f t="shared" si="0"/>
        <v>14911.74</v>
      </c>
      <c r="F17" s="67"/>
      <c r="G17" s="64">
        <f t="shared" si="1"/>
        <v>2756.69</v>
      </c>
      <c r="H17" s="64">
        <f t="shared" si="2"/>
        <v>12155.050000000001</v>
      </c>
    </row>
    <row r="18" spans="1:8" x14ac:dyDescent="0.2">
      <c r="A18" s="59"/>
      <c r="B18" s="60"/>
      <c r="C18" s="61"/>
      <c r="D18" s="63"/>
      <c r="E18" s="63">
        <f t="shared" si="0"/>
        <v>14911.74</v>
      </c>
      <c r="F18" s="67"/>
      <c r="G18" s="64">
        <f t="shared" si="1"/>
        <v>2756.69</v>
      </c>
      <c r="H18" s="64">
        <f t="shared" si="2"/>
        <v>12155.050000000001</v>
      </c>
    </row>
    <row r="19" spans="1:8" x14ac:dyDescent="0.2">
      <c r="A19" s="59"/>
      <c r="B19" s="60"/>
      <c r="C19" s="61"/>
      <c r="D19" s="63"/>
      <c r="E19" s="63">
        <f t="shared" si="0"/>
        <v>14911.74</v>
      </c>
      <c r="F19" s="64"/>
      <c r="G19" s="64">
        <f t="shared" si="1"/>
        <v>2756.69</v>
      </c>
      <c r="H19" s="64">
        <f t="shared" si="2"/>
        <v>12155.050000000001</v>
      </c>
    </row>
    <row r="20" spans="1:8" x14ac:dyDescent="0.2">
      <c r="A20" s="59"/>
      <c r="B20" s="60"/>
      <c r="C20" s="61"/>
      <c r="D20" s="63"/>
      <c r="E20" s="63">
        <f t="shared" si="0"/>
        <v>14911.74</v>
      </c>
      <c r="F20" s="64"/>
      <c r="G20" s="64">
        <f t="shared" si="1"/>
        <v>2756.69</v>
      </c>
      <c r="H20" s="64">
        <f t="shared" si="2"/>
        <v>12155.050000000001</v>
      </c>
    </row>
    <row r="21" spans="1:8" x14ac:dyDescent="0.2">
      <c r="A21" s="59"/>
      <c r="B21" s="60"/>
      <c r="C21" s="68"/>
      <c r="D21" s="63"/>
      <c r="E21" s="63">
        <f t="shared" si="0"/>
        <v>14911.74</v>
      </c>
      <c r="F21" s="64"/>
      <c r="G21" s="64">
        <f t="shared" si="1"/>
        <v>2756.69</v>
      </c>
      <c r="H21" s="64">
        <f t="shared" si="2"/>
        <v>12155.050000000001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14911.74</v>
      </c>
      <c r="E23" s="72"/>
      <c r="F23" s="72">
        <f>SUM(F9:F22)</f>
        <v>2756.69</v>
      </c>
      <c r="G23" s="72"/>
      <c r="H23" s="72">
        <f>D23-F23</f>
        <v>12155.05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14711.74</v>
      </c>
      <c r="E26" s="252"/>
      <c r="F26" s="252">
        <f>1761.29+897.9</f>
        <v>2659.19</v>
      </c>
      <c r="G26" s="252"/>
      <c r="H26" s="252">
        <f>D26-F26</f>
        <v>12052.55</v>
      </c>
    </row>
    <row r="27" spans="1:8" x14ac:dyDescent="0.2">
      <c r="A27" s="73"/>
      <c r="B27" s="61"/>
      <c r="C27" s="251" t="s">
        <v>173</v>
      </c>
      <c r="D27" s="252">
        <v>200</v>
      </c>
      <c r="E27" s="252"/>
      <c r="F27" s="252">
        <f>65+32.5</f>
        <v>97.5</v>
      </c>
      <c r="G27" s="252"/>
      <c r="H27" s="252">
        <f>D27-F27</f>
        <v>102.5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14911.74</v>
      </c>
      <c r="E28" s="255"/>
      <c r="F28" s="254">
        <f>SUM(F26:F27)</f>
        <v>2756.69</v>
      </c>
      <c r="G28" s="255"/>
      <c r="H28" s="254">
        <f>SUM(H26:H27)</f>
        <v>12155.05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6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627"/>
  <sheetViews>
    <sheetView zoomScaleNormal="100" workbookViewId="0">
      <selection activeCell="N19" sqref="N1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#9453.00'!B1</f>
        <v>DOC FDCF IPI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#9453.00'!B2</f>
        <v>Project # 9453.00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#9453.00'!B3</f>
        <v>Program code 945300</v>
      </c>
      <c r="B3" s="5"/>
      <c r="C3" s="5"/>
      <c r="D3" s="4"/>
      <c r="E3" s="8" t="str">
        <f>'RECAP #9453.00'!E3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158</v>
      </c>
      <c r="F6" s="50"/>
      <c r="G6" s="51"/>
      <c r="H6" s="47"/>
      <c r="I6" s="42"/>
    </row>
    <row r="7" spans="1:10" s="35" customFormat="1" ht="15.75" x14ac:dyDescent="0.25">
      <c r="A7" s="13" t="str">
        <f>'RECAP #9453.00'!B6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6300</v>
      </c>
      <c r="F9" s="63">
        <f>E9</f>
        <v>6300</v>
      </c>
      <c r="G9" s="64"/>
      <c r="H9" s="64"/>
      <c r="I9" s="64">
        <f>F9</f>
        <v>6300</v>
      </c>
    </row>
    <row r="10" spans="1:10" x14ac:dyDescent="0.2">
      <c r="A10" s="257" t="s">
        <v>198</v>
      </c>
      <c r="B10" s="60">
        <v>45574</v>
      </c>
      <c r="C10" s="246">
        <v>2507</v>
      </c>
      <c r="D10" s="83" t="s">
        <v>221</v>
      </c>
      <c r="E10" s="63"/>
      <c r="F10" s="63">
        <f t="shared" ref="F10:F21" si="0">F9+E10</f>
        <v>6300</v>
      </c>
      <c r="G10" s="258">
        <f>50.37+18.23</f>
        <v>68.599999999999994</v>
      </c>
      <c r="H10" s="64">
        <f t="shared" ref="H10:H21" si="1">H9+G10</f>
        <v>68.599999999999994</v>
      </c>
      <c r="I10" s="64">
        <f t="shared" ref="I10:I21" si="2">I9-G10+E10</f>
        <v>6231.4</v>
      </c>
    </row>
    <row r="11" spans="1:10" x14ac:dyDescent="0.2">
      <c r="A11" s="257" t="s">
        <v>198</v>
      </c>
      <c r="B11" s="60">
        <v>45574</v>
      </c>
      <c r="C11" s="246">
        <v>9500</v>
      </c>
      <c r="D11" s="83" t="s">
        <v>222</v>
      </c>
      <c r="E11" s="63"/>
      <c r="F11" s="63">
        <f t="shared" si="0"/>
        <v>6300</v>
      </c>
      <c r="G11" s="258">
        <f>39.5+569.8</f>
        <v>609.29999999999995</v>
      </c>
      <c r="H11" s="64">
        <f t="shared" si="1"/>
        <v>677.9</v>
      </c>
      <c r="I11" s="64">
        <f t="shared" si="2"/>
        <v>5622.0999999999995</v>
      </c>
    </row>
    <row r="12" spans="1:10" x14ac:dyDescent="0.2">
      <c r="A12" s="257" t="s">
        <v>268</v>
      </c>
      <c r="B12" s="60">
        <v>45603</v>
      </c>
      <c r="C12" s="246">
        <v>2507</v>
      </c>
      <c r="D12" s="83" t="s">
        <v>269</v>
      </c>
      <c r="E12" s="63"/>
      <c r="F12" s="63">
        <f t="shared" si="0"/>
        <v>6300</v>
      </c>
      <c r="G12" s="258">
        <f>45.29+92.56</f>
        <v>137.85</v>
      </c>
      <c r="H12" s="64">
        <f t="shared" si="1"/>
        <v>815.75</v>
      </c>
      <c r="I12" s="64">
        <f t="shared" si="2"/>
        <v>5484.2499999999991</v>
      </c>
    </row>
    <row r="13" spans="1:10" x14ac:dyDescent="0.2">
      <c r="A13" s="257" t="s">
        <v>268</v>
      </c>
      <c r="B13" s="60">
        <v>45603</v>
      </c>
      <c r="C13" s="246">
        <v>9500</v>
      </c>
      <c r="D13" s="83" t="s">
        <v>270</v>
      </c>
      <c r="E13" s="63"/>
      <c r="F13" s="63">
        <f t="shared" si="0"/>
        <v>6300</v>
      </c>
      <c r="G13" s="258">
        <f>70.5+851.4</f>
        <v>921.9</v>
      </c>
      <c r="H13" s="64">
        <f t="shared" si="1"/>
        <v>1737.65</v>
      </c>
      <c r="I13" s="64">
        <f t="shared" si="2"/>
        <v>4562.3499999999995</v>
      </c>
    </row>
    <row r="14" spans="1:10" x14ac:dyDescent="0.2">
      <c r="A14" s="257" t="s">
        <v>345</v>
      </c>
      <c r="B14" s="275">
        <v>45635</v>
      </c>
      <c r="C14" s="276">
        <v>2507</v>
      </c>
      <c r="D14" s="277" t="s">
        <v>346</v>
      </c>
      <c r="E14" s="63"/>
      <c r="F14" s="63">
        <f t="shared" si="0"/>
        <v>6300</v>
      </c>
      <c r="G14" s="258">
        <f>40.21+72.92</f>
        <v>113.13</v>
      </c>
      <c r="H14" s="64">
        <f t="shared" si="1"/>
        <v>1850.7800000000002</v>
      </c>
      <c r="I14" s="64">
        <f t="shared" si="2"/>
        <v>4449.2199999999993</v>
      </c>
    </row>
    <row r="15" spans="1:10" x14ac:dyDescent="0.2">
      <c r="A15" s="257" t="s">
        <v>345</v>
      </c>
      <c r="B15" s="275">
        <v>45635</v>
      </c>
      <c r="C15" s="276">
        <v>9500</v>
      </c>
      <c r="D15" s="278" t="s">
        <v>347</v>
      </c>
      <c r="E15" s="63"/>
      <c r="F15" s="63">
        <f t="shared" si="0"/>
        <v>6300</v>
      </c>
      <c r="G15" s="258">
        <f>50+698.5</f>
        <v>748.5</v>
      </c>
      <c r="H15" s="64">
        <f t="shared" si="1"/>
        <v>2599.2800000000002</v>
      </c>
      <c r="I15" s="64">
        <f t="shared" si="2"/>
        <v>3700.7199999999993</v>
      </c>
    </row>
    <row r="16" spans="1:10" x14ac:dyDescent="0.2">
      <c r="A16" s="85"/>
      <c r="B16" s="60"/>
      <c r="C16" s="60"/>
      <c r="D16" s="83"/>
      <c r="E16" s="63"/>
      <c r="F16" s="63">
        <f t="shared" si="0"/>
        <v>6300</v>
      </c>
      <c r="G16" s="67"/>
      <c r="H16" s="64">
        <f t="shared" si="1"/>
        <v>2599.2800000000002</v>
      </c>
      <c r="I16" s="64">
        <f t="shared" si="2"/>
        <v>3700.7199999999993</v>
      </c>
    </row>
    <row r="17" spans="1:9" x14ac:dyDescent="0.2">
      <c r="A17" s="85"/>
      <c r="B17" s="60"/>
      <c r="C17" s="60"/>
      <c r="D17" s="83"/>
      <c r="E17" s="63"/>
      <c r="F17" s="63">
        <f t="shared" si="0"/>
        <v>6300</v>
      </c>
      <c r="G17" s="67"/>
      <c r="H17" s="64">
        <f t="shared" si="1"/>
        <v>2599.2800000000002</v>
      </c>
      <c r="I17" s="64">
        <f t="shared" si="2"/>
        <v>3700.7199999999993</v>
      </c>
    </row>
    <row r="18" spans="1:9" x14ac:dyDescent="0.2">
      <c r="A18" s="85"/>
      <c r="B18" s="60"/>
      <c r="C18" s="60"/>
      <c r="D18" s="83"/>
      <c r="E18" s="63"/>
      <c r="F18" s="63">
        <f t="shared" si="0"/>
        <v>6300</v>
      </c>
      <c r="G18" s="67"/>
      <c r="H18" s="64">
        <f t="shared" si="1"/>
        <v>2599.2800000000002</v>
      </c>
      <c r="I18" s="64">
        <f t="shared" si="2"/>
        <v>3700.7199999999993</v>
      </c>
    </row>
    <row r="19" spans="1:9" x14ac:dyDescent="0.2">
      <c r="A19" s="82"/>
      <c r="B19" s="60"/>
      <c r="C19" s="60"/>
      <c r="D19" s="83"/>
      <c r="E19" s="63"/>
      <c r="F19" s="63">
        <f t="shared" si="0"/>
        <v>6300</v>
      </c>
      <c r="G19" s="67"/>
      <c r="H19" s="64">
        <f t="shared" si="1"/>
        <v>2599.2800000000002</v>
      </c>
      <c r="I19" s="64">
        <f t="shared" si="2"/>
        <v>3700.7199999999993</v>
      </c>
    </row>
    <row r="20" spans="1:9" x14ac:dyDescent="0.2">
      <c r="A20" s="82"/>
      <c r="B20" s="60"/>
      <c r="C20" s="60"/>
      <c r="D20" s="83"/>
      <c r="E20" s="63"/>
      <c r="F20" s="63">
        <f t="shared" si="0"/>
        <v>6300</v>
      </c>
      <c r="G20" s="67"/>
      <c r="H20" s="64">
        <f t="shared" si="1"/>
        <v>2599.2800000000002</v>
      </c>
      <c r="I20" s="64">
        <f t="shared" si="2"/>
        <v>3700.7199999999993</v>
      </c>
    </row>
    <row r="21" spans="1:9" x14ac:dyDescent="0.2">
      <c r="A21" s="82"/>
      <c r="B21" s="60"/>
      <c r="C21" s="60"/>
      <c r="D21" s="86"/>
      <c r="E21" s="63"/>
      <c r="F21" s="63">
        <f t="shared" si="0"/>
        <v>6300</v>
      </c>
      <c r="G21" s="67"/>
      <c r="H21" s="64">
        <f t="shared" si="1"/>
        <v>2599.2800000000002</v>
      </c>
      <c r="I21" s="64">
        <f t="shared" si="2"/>
        <v>3700.7199999999993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6300</v>
      </c>
      <c r="F23" s="72"/>
      <c r="G23" s="72">
        <f>SUM(G9:G22)</f>
        <v>2599.2800000000002</v>
      </c>
      <c r="H23" s="72"/>
      <c r="I23" s="72">
        <f>E23-G23</f>
        <v>3700.72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#9453.00'!B1</f>
        <v>DOC FDCF IPI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#9453.00'!B2</f>
        <v>Project # 9453.00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#9453.00'!B3</f>
        <v>Program code 945300</v>
      </c>
      <c r="E3" s="8" t="str">
        <f>'RECAP #9453.00'!E3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#9453.00'!B6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628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85546875" style="65" customWidth="1"/>
    <col min="9" max="16384" width="11.42578125" style="65"/>
  </cols>
  <sheetData>
    <row r="1" spans="1:9" s="35" customFormat="1" ht="24.75" customHeight="1" x14ac:dyDescent="0.25">
      <c r="A1" s="2" t="str">
        <f>'RECAP #9453.00'!B1</f>
        <v>DOC FDCF IPI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#9453.00'!B2</f>
        <v>Project # 9453.00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#9453.00'!B3</f>
        <v>Program code 945300</v>
      </c>
      <c r="B3" s="5"/>
      <c r="C3" s="4"/>
      <c r="D3" s="8" t="str">
        <f>'RECAP #9453.00'!E3</f>
        <v>Major Program 4B01</v>
      </c>
      <c r="E3" s="4"/>
      <c r="F3" s="34"/>
      <c r="G3" s="34"/>
    </row>
    <row r="4" spans="1:9" s="35" customFormat="1" ht="15.75" x14ac:dyDescent="0.25">
      <c r="A4" s="36" t="s">
        <v>313</v>
      </c>
      <c r="B4" s="37"/>
      <c r="C4" s="38"/>
      <c r="D4" s="39" t="s">
        <v>314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315</v>
      </c>
      <c r="E5" s="45"/>
      <c r="F5" s="46"/>
      <c r="G5" s="47"/>
      <c r="H5" s="42"/>
    </row>
    <row r="6" spans="1:9" s="35" customFormat="1" ht="15.75" x14ac:dyDescent="0.25">
      <c r="A6" s="13" t="str">
        <f>'RECAP #9453.00'!B6</f>
        <v>Project Manager - Jennifer K.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316</v>
      </c>
      <c r="B9" s="60">
        <v>45618</v>
      </c>
      <c r="C9" s="61" t="s">
        <v>167</v>
      </c>
      <c r="D9" s="247">
        <v>15300</v>
      </c>
      <c r="E9" s="63">
        <f>D9</f>
        <v>15300</v>
      </c>
      <c r="F9" s="64"/>
      <c r="G9" s="64"/>
      <c r="H9" s="64">
        <f>E9</f>
        <v>15300</v>
      </c>
    </row>
    <row r="10" spans="1:9" x14ac:dyDescent="0.2">
      <c r="A10" s="59"/>
      <c r="B10" s="66"/>
      <c r="C10" s="61"/>
      <c r="D10" s="63"/>
      <c r="E10" s="63">
        <f t="shared" ref="E10:E21" si="0">E9+D10</f>
        <v>15300</v>
      </c>
      <c r="F10" s="67"/>
      <c r="G10" s="64">
        <f t="shared" ref="G10:G21" si="1">G9+F10</f>
        <v>0</v>
      </c>
      <c r="H10" s="64">
        <f t="shared" ref="H10:H21" si="2">H9-F10+D10</f>
        <v>15300</v>
      </c>
    </row>
    <row r="11" spans="1:9" x14ac:dyDescent="0.2">
      <c r="A11" s="59"/>
      <c r="B11" s="60"/>
      <c r="C11" s="61"/>
      <c r="D11" s="63"/>
      <c r="E11" s="63">
        <f t="shared" si="0"/>
        <v>15300</v>
      </c>
      <c r="F11" s="67"/>
      <c r="G11" s="64">
        <f t="shared" si="1"/>
        <v>0</v>
      </c>
      <c r="H11" s="64">
        <f t="shared" si="2"/>
        <v>15300</v>
      </c>
    </row>
    <row r="12" spans="1:9" x14ac:dyDescent="0.2">
      <c r="A12" s="59"/>
      <c r="B12" s="60"/>
      <c r="C12" s="61"/>
      <c r="D12" s="63"/>
      <c r="E12" s="63">
        <f t="shared" si="0"/>
        <v>15300</v>
      </c>
      <c r="F12" s="67"/>
      <c r="G12" s="64">
        <f t="shared" si="1"/>
        <v>0</v>
      </c>
      <c r="H12" s="64">
        <f t="shared" si="2"/>
        <v>15300</v>
      </c>
    </row>
    <row r="13" spans="1:9" x14ac:dyDescent="0.2">
      <c r="A13" s="59"/>
      <c r="B13" s="60"/>
      <c r="C13" s="61"/>
      <c r="D13" s="63"/>
      <c r="E13" s="63">
        <f t="shared" si="0"/>
        <v>15300</v>
      </c>
      <c r="F13" s="67"/>
      <c r="G13" s="64">
        <f t="shared" si="1"/>
        <v>0</v>
      </c>
      <c r="H13" s="64">
        <f t="shared" si="2"/>
        <v>15300</v>
      </c>
    </row>
    <row r="14" spans="1:9" x14ac:dyDescent="0.2">
      <c r="A14" s="59"/>
      <c r="B14" s="60"/>
      <c r="C14" s="61"/>
      <c r="D14" s="63"/>
      <c r="E14" s="63">
        <f t="shared" si="0"/>
        <v>15300</v>
      </c>
      <c r="F14" s="64"/>
      <c r="G14" s="64">
        <f t="shared" si="1"/>
        <v>0</v>
      </c>
      <c r="H14" s="64">
        <f t="shared" si="2"/>
        <v>15300</v>
      </c>
    </row>
    <row r="15" spans="1:9" x14ac:dyDescent="0.2">
      <c r="A15" s="59"/>
      <c r="B15" s="60"/>
      <c r="C15" s="61"/>
      <c r="D15" s="63"/>
      <c r="E15" s="63">
        <f t="shared" si="0"/>
        <v>15300</v>
      </c>
      <c r="F15" s="67"/>
      <c r="G15" s="64">
        <f t="shared" si="1"/>
        <v>0</v>
      </c>
      <c r="H15" s="64">
        <f t="shared" si="2"/>
        <v>15300</v>
      </c>
    </row>
    <row r="16" spans="1:9" x14ac:dyDescent="0.2">
      <c r="A16" s="59"/>
      <c r="B16" s="60"/>
      <c r="C16" s="61"/>
      <c r="D16" s="63"/>
      <c r="E16" s="63">
        <f t="shared" si="0"/>
        <v>15300</v>
      </c>
      <c r="F16" s="67"/>
      <c r="G16" s="64">
        <f t="shared" si="1"/>
        <v>0</v>
      </c>
      <c r="H16" s="64">
        <f t="shared" si="2"/>
        <v>15300</v>
      </c>
    </row>
    <row r="17" spans="1:8" x14ac:dyDescent="0.2">
      <c r="A17" s="59"/>
      <c r="B17" s="60"/>
      <c r="C17" s="61"/>
      <c r="D17" s="63"/>
      <c r="E17" s="63">
        <f t="shared" si="0"/>
        <v>15300</v>
      </c>
      <c r="F17" s="67"/>
      <c r="G17" s="64">
        <f t="shared" si="1"/>
        <v>0</v>
      </c>
      <c r="H17" s="64">
        <f t="shared" si="2"/>
        <v>15300</v>
      </c>
    </row>
    <row r="18" spans="1:8" x14ac:dyDescent="0.2">
      <c r="A18" s="59"/>
      <c r="B18" s="60"/>
      <c r="C18" s="61"/>
      <c r="D18" s="63"/>
      <c r="E18" s="63">
        <f t="shared" si="0"/>
        <v>15300</v>
      </c>
      <c r="F18" s="67"/>
      <c r="G18" s="64">
        <f t="shared" si="1"/>
        <v>0</v>
      </c>
      <c r="H18" s="64">
        <f t="shared" si="2"/>
        <v>15300</v>
      </c>
    </row>
    <row r="19" spans="1:8" x14ac:dyDescent="0.2">
      <c r="A19" s="59"/>
      <c r="B19" s="60"/>
      <c r="C19" s="61"/>
      <c r="D19" s="63"/>
      <c r="E19" s="63">
        <f t="shared" si="0"/>
        <v>15300</v>
      </c>
      <c r="F19" s="64"/>
      <c r="G19" s="64">
        <f t="shared" si="1"/>
        <v>0</v>
      </c>
      <c r="H19" s="64">
        <f t="shared" si="2"/>
        <v>15300</v>
      </c>
    </row>
    <row r="20" spans="1:8" x14ac:dyDescent="0.2">
      <c r="A20" s="59"/>
      <c r="B20" s="60"/>
      <c r="C20" s="61"/>
      <c r="D20" s="63"/>
      <c r="E20" s="63">
        <f t="shared" si="0"/>
        <v>15300</v>
      </c>
      <c r="F20" s="64"/>
      <c r="G20" s="64">
        <f t="shared" si="1"/>
        <v>0</v>
      </c>
      <c r="H20" s="64">
        <f t="shared" si="2"/>
        <v>15300</v>
      </c>
    </row>
    <row r="21" spans="1:8" x14ac:dyDescent="0.2">
      <c r="A21" s="59"/>
      <c r="B21" s="60"/>
      <c r="C21" s="68"/>
      <c r="D21" s="63"/>
      <c r="E21" s="63">
        <f t="shared" si="0"/>
        <v>15300</v>
      </c>
      <c r="F21" s="64"/>
      <c r="G21" s="64">
        <f t="shared" si="1"/>
        <v>0</v>
      </c>
      <c r="H21" s="64">
        <f t="shared" si="2"/>
        <v>15300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15300</v>
      </c>
      <c r="E23" s="72"/>
      <c r="F23" s="72">
        <f>SUM(F9:F22)</f>
        <v>0</v>
      </c>
      <c r="G23" s="72"/>
      <c r="H23" s="72">
        <f>D23-F23</f>
        <v>15300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206</v>
      </c>
      <c r="D26" s="252">
        <v>8100</v>
      </c>
      <c r="E26" s="252"/>
      <c r="F26" s="252"/>
      <c r="G26" s="252"/>
      <c r="H26" s="252">
        <f>D26-F26</f>
        <v>8100</v>
      </c>
    </row>
    <row r="27" spans="1:8" x14ac:dyDescent="0.2">
      <c r="A27" s="73"/>
      <c r="B27" s="61"/>
      <c r="C27" s="251" t="s">
        <v>317</v>
      </c>
      <c r="D27" s="252">
        <v>800</v>
      </c>
      <c r="E27" s="252"/>
      <c r="F27" s="252"/>
      <c r="G27" s="252"/>
      <c r="H27" s="252">
        <f>D27-F27</f>
        <v>800</v>
      </c>
    </row>
    <row r="28" spans="1:8" x14ac:dyDescent="0.2">
      <c r="A28" s="73"/>
      <c r="B28" s="61"/>
      <c r="C28" s="251" t="s">
        <v>208</v>
      </c>
      <c r="D28" s="252">
        <v>6400</v>
      </c>
      <c r="E28" s="252"/>
      <c r="F28" s="252"/>
      <c r="G28" s="252"/>
      <c r="H28" s="252">
        <f>D28-F28</f>
        <v>6400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15300</v>
      </c>
      <c r="E29" s="255"/>
      <c r="F29" s="254">
        <f>SUM(F26:F28)</f>
        <v>0</v>
      </c>
      <c r="G29" s="255"/>
      <c r="H29" s="254">
        <f>SUM(H26:H28)</f>
        <v>15300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</sheetData>
  <conditionalFormatting sqref="I9:I29">
    <cfRule type="cellIs" dxfId="15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25"/>
  <sheetViews>
    <sheetView zoomScaleNormal="100" workbookViewId="0">
      <selection activeCell="D13" sqref="D1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116</v>
      </c>
      <c r="C1" s="3"/>
    </row>
    <row r="2" spans="1:8" ht="15.75" x14ac:dyDescent="0.25">
      <c r="B2" s="6" t="s">
        <v>137</v>
      </c>
    </row>
    <row r="3" spans="1:8" ht="15.75" x14ac:dyDescent="0.25">
      <c r="B3" s="7" t="s">
        <v>138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FINANCIAL!G29</f>
        <v>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'#9454.00 Samuels Group'!D23</f>
        <v>17987.439999999999</v>
      </c>
      <c r="E10" s="24">
        <f>'#9454.00 Samuels Group'!F23</f>
        <v>10003.64</v>
      </c>
      <c r="F10" s="24">
        <f>'#9454.00 Samuels Group'!H23</f>
        <v>7983.7999999999993</v>
      </c>
      <c r="G10" s="25"/>
      <c r="H10" s="17"/>
    </row>
    <row r="11" spans="1:8" x14ac:dyDescent="0.2">
      <c r="B11" s="5" t="s">
        <v>14</v>
      </c>
      <c r="C11" s="26"/>
      <c r="D11" s="24">
        <f>'#9454.00 PM TIME'!E23</f>
        <v>18000</v>
      </c>
      <c r="E11" s="24">
        <f>'#9454.00 PM TIME'!G23</f>
        <v>5987.3399999999992</v>
      </c>
      <c r="F11" s="24">
        <f>'#9454.00 PM TIME'!I23</f>
        <v>12012.66</v>
      </c>
      <c r="G11" s="25"/>
      <c r="H11" s="17"/>
    </row>
    <row r="12" spans="1:8" x14ac:dyDescent="0.2">
      <c r="B12" s="5" t="s">
        <v>15</v>
      </c>
      <c r="C12" s="27"/>
      <c r="D12" s="28">
        <f>'#9454.00 Misc '!G22</f>
        <v>925.88</v>
      </c>
      <c r="E12" s="28">
        <f>'#9454.00 Misc '!G22</f>
        <v>925.88</v>
      </c>
      <c r="F12" s="24">
        <f>D12-E12</f>
        <v>0</v>
      </c>
      <c r="G12" s="25"/>
      <c r="H12" s="17"/>
    </row>
    <row r="13" spans="1:8" x14ac:dyDescent="0.2">
      <c r="B13" s="5" t="s">
        <v>199</v>
      </c>
      <c r="C13" s="27"/>
      <c r="D13" s="28">
        <f>'#9454.00 Horizon Architecture'!D31</f>
        <v>18400</v>
      </c>
      <c r="E13" s="28">
        <f>'#9454.00 Horizon Architecture'!F31</f>
        <v>5776.88</v>
      </c>
      <c r="F13" s="24">
        <f>'#9454.00 Horizon Architecture'!H31</f>
        <v>12623.119999999999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600000</v>
      </c>
      <c r="D15" s="32">
        <f>SUM(D8:D14)</f>
        <v>55313.32</v>
      </c>
      <c r="E15" s="32">
        <f>SUM(E8:E14)</f>
        <v>22693.74</v>
      </c>
      <c r="F15" s="32">
        <f>SUM(D15-E15)</f>
        <v>32619.579999999998</v>
      </c>
      <c r="G15" s="32">
        <f>C15-D15</f>
        <v>544686.68000000005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626"/>
  <sheetViews>
    <sheetView zoomScaleNormal="100" workbookViewId="0">
      <selection activeCell="F12" sqref="F1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140625" style="65" customWidth="1"/>
    <col min="9" max="16384" width="11.42578125" style="65"/>
  </cols>
  <sheetData>
    <row r="1" spans="1:9" s="35" customFormat="1" ht="24.75" customHeight="1" x14ac:dyDescent="0.25">
      <c r="A1" s="2" t="str">
        <f>'RECAP #9454.00'!B1</f>
        <v>DOC ICIW Building 9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#9454.00'!B2</f>
        <v>Project # 9454.00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#9454.00'!B3</f>
        <v>Program code 9454.00</v>
      </c>
      <c r="B3" s="5"/>
      <c r="C3" s="4"/>
      <c r="D3" s="8" t="str">
        <f>'RECAP #9454.00'!E3</f>
        <v>Major Program 4B01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#9454.00'!B6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175</v>
      </c>
      <c r="B9" s="60">
        <v>45547</v>
      </c>
      <c r="C9" s="61" t="s">
        <v>167</v>
      </c>
      <c r="D9" s="247">
        <v>17987.439999999999</v>
      </c>
      <c r="E9" s="63">
        <f>D9</f>
        <v>17987.439999999999</v>
      </c>
      <c r="F9" s="64"/>
      <c r="G9" s="64"/>
      <c r="H9" s="64">
        <f>E9</f>
        <v>17987.439999999999</v>
      </c>
    </row>
    <row r="10" spans="1:9" x14ac:dyDescent="0.2">
      <c r="A10" s="59" t="s">
        <v>194</v>
      </c>
      <c r="B10" s="66">
        <v>45572</v>
      </c>
      <c r="C10" s="61" t="s">
        <v>195</v>
      </c>
      <c r="D10" s="63"/>
      <c r="E10" s="63">
        <f t="shared" ref="E10:E21" si="0">E9+D10</f>
        <v>17987.439999999999</v>
      </c>
      <c r="F10" s="258">
        <v>3002.64</v>
      </c>
      <c r="G10" s="64">
        <f t="shared" ref="G10:G21" si="1">G9+F10</f>
        <v>3002.64</v>
      </c>
      <c r="H10" s="64">
        <f t="shared" ref="H10:H21" si="2">H9-F10+D10</f>
        <v>14984.8</v>
      </c>
    </row>
    <row r="11" spans="1:9" x14ac:dyDescent="0.2">
      <c r="A11" s="59" t="s">
        <v>254</v>
      </c>
      <c r="B11" s="60">
        <v>45602</v>
      </c>
      <c r="C11" s="61" t="s">
        <v>255</v>
      </c>
      <c r="D11" s="63"/>
      <c r="E11" s="63">
        <f t="shared" si="0"/>
        <v>17987.439999999999</v>
      </c>
      <c r="F11" s="258">
        <v>3679.52</v>
      </c>
      <c r="G11" s="64">
        <f t="shared" si="1"/>
        <v>6682.16</v>
      </c>
      <c r="H11" s="64">
        <f t="shared" si="2"/>
        <v>11305.279999999999</v>
      </c>
    </row>
    <row r="12" spans="1:9" x14ac:dyDescent="0.2">
      <c r="A12" s="59" t="s">
        <v>341</v>
      </c>
      <c r="B12" s="60">
        <v>45632</v>
      </c>
      <c r="C12" s="61" t="s">
        <v>342</v>
      </c>
      <c r="D12" s="63"/>
      <c r="E12" s="63">
        <f t="shared" si="0"/>
        <v>17987.439999999999</v>
      </c>
      <c r="F12" s="258">
        <v>3321.48</v>
      </c>
      <c r="G12" s="64">
        <f t="shared" si="1"/>
        <v>10003.64</v>
      </c>
      <c r="H12" s="64">
        <f t="shared" si="2"/>
        <v>7983.7999999999993</v>
      </c>
    </row>
    <row r="13" spans="1:9" x14ac:dyDescent="0.2">
      <c r="A13" s="59"/>
      <c r="B13" s="60"/>
      <c r="C13" s="61"/>
      <c r="D13" s="63"/>
      <c r="E13" s="63">
        <f t="shared" si="0"/>
        <v>17987.439999999999</v>
      </c>
      <c r="F13" s="67"/>
      <c r="G13" s="64">
        <f t="shared" si="1"/>
        <v>10003.64</v>
      </c>
      <c r="H13" s="64">
        <f t="shared" si="2"/>
        <v>7983.7999999999993</v>
      </c>
    </row>
    <row r="14" spans="1:9" x14ac:dyDescent="0.2">
      <c r="A14" s="59"/>
      <c r="B14" s="60"/>
      <c r="C14" s="61"/>
      <c r="D14" s="63"/>
      <c r="E14" s="63">
        <f t="shared" si="0"/>
        <v>17987.439999999999</v>
      </c>
      <c r="F14" s="64"/>
      <c r="G14" s="64">
        <f t="shared" si="1"/>
        <v>10003.64</v>
      </c>
      <c r="H14" s="64">
        <f t="shared" si="2"/>
        <v>7983.7999999999993</v>
      </c>
    </row>
    <row r="15" spans="1:9" x14ac:dyDescent="0.2">
      <c r="A15" s="59"/>
      <c r="B15" s="60"/>
      <c r="C15" s="61"/>
      <c r="D15" s="63"/>
      <c r="E15" s="63">
        <f t="shared" si="0"/>
        <v>17987.439999999999</v>
      </c>
      <c r="F15" s="67"/>
      <c r="G15" s="64">
        <f t="shared" si="1"/>
        <v>10003.64</v>
      </c>
      <c r="H15" s="64">
        <f t="shared" si="2"/>
        <v>7983.7999999999993</v>
      </c>
    </row>
    <row r="16" spans="1:9" x14ac:dyDescent="0.2">
      <c r="A16" s="59"/>
      <c r="B16" s="60"/>
      <c r="C16" s="61"/>
      <c r="D16" s="63"/>
      <c r="E16" s="63">
        <f t="shared" si="0"/>
        <v>17987.439999999999</v>
      </c>
      <c r="F16" s="67"/>
      <c r="G16" s="64">
        <f t="shared" si="1"/>
        <v>10003.64</v>
      </c>
      <c r="H16" s="64">
        <f t="shared" si="2"/>
        <v>7983.7999999999993</v>
      </c>
    </row>
    <row r="17" spans="1:8" x14ac:dyDescent="0.2">
      <c r="A17" s="59"/>
      <c r="B17" s="60"/>
      <c r="C17" s="61"/>
      <c r="D17" s="63"/>
      <c r="E17" s="63">
        <f t="shared" si="0"/>
        <v>17987.439999999999</v>
      </c>
      <c r="F17" s="67"/>
      <c r="G17" s="64">
        <f t="shared" si="1"/>
        <v>10003.64</v>
      </c>
      <c r="H17" s="64">
        <f t="shared" si="2"/>
        <v>7983.7999999999993</v>
      </c>
    </row>
    <row r="18" spans="1:8" x14ac:dyDescent="0.2">
      <c r="A18" s="59"/>
      <c r="B18" s="60"/>
      <c r="C18" s="61"/>
      <c r="D18" s="63"/>
      <c r="E18" s="63">
        <f t="shared" si="0"/>
        <v>17987.439999999999</v>
      </c>
      <c r="F18" s="67"/>
      <c r="G18" s="64">
        <f t="shared" si="1"/>
        <v>10003.64</v>
      </c>
      <c r="H18" s="64">
        <f t="shared" si="2"/>
        <v>7983.7999999999993</v>
      </c>
    </row>
    <row r="19" spans="1:8" x14ac:dyDescent="0.2">
      <c r="A19" s="59"/>
      <c r="B19" s="60"/>
      <c r="C19" s="61"/>
      <c r="D19" s="63"/>
      <c r="E19" s="63">
        <f t="shared" si="0"/>
        <v>17987.439999999999</v>
      </c>
      <c r="F19" s="64"/>
      <c r="G19" s="64">
        <f t="shared" si="1"/>
        <v>10003.64</v>
      </c>
      <c r="H19" s="64">
        <f t="shared" si="2"/>
        <v>7983.7999999999993</v>
      </c>
    </row>
    <row r="20" spans="1:8" x14ac:dyDescent="0.2">
      <c r="A20" s="59"/>
      <c r="B20" s="60"/>
      <c r="C20" s="61"/>
      <c r="D20" s="63"/>
      <c r="E20" s="63">
        <f t="shared" si="0"/>
        <v>17987.439999999999</v>
      </c>
      <c r="F20" s="64"/>
      <c r="G20" s="64">
        <f t="shared" si="1"/>
        <v>10003.64</v>
      </c>
      <c r="H20" s="64">
        <f t="shared" si="2"/>
        <v>7983.7999999999993</v>
      </c>
    </row>
    <row r="21" spans="1:8" x14ac:dyDescent="0.2">
      <c r="A21" s="59"/>
      <c r="B21" s="60"/>
      <c r="C21" s="68"/>
      <c r="D21" s="63"/>
      <c r="E21" s="63">
        <f t="shared" si="0"/>
        <v>17987.439999999999</v>
      </c>
      <c r="F21" s="64"/>
      <c r="G21" s="64">
        <f t="shared" si="1"/>
        <v>10003.64</v>
      </c>
      <c r="H21" s="64">
        <f t="shared" si="2"/>
        <v>7983.7999999999993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17987.439999999999</v>
      </c>
      <c r="E23" s="72"/>
      <c r="F23" s="72">
        <f>SUM(F9:F22)</f>
        <v>10003.64</v>
      </c>
      <c r="G23" s="72"/>
      <c r="H23" s="72">
        <f>D23-F23</f>
        <v>7983.7999999999993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17737.439999999999</v>
      </c>
      <c r="E26" s="252"/>
      <c r="F26" s="252">
        <f>3002.64+3654.52+3296.48</f>
        <v>9953.64</v>
      </c>
      <c r="G26" s="252"/>
      <c r="H26" s="252">
        <f>D26-F26</f>
        <v>7783.7999999999993</v>
      </c>
    </row>
    <row r="27" spans="1:8" x14ac:dyDescent="0.2">
      <c r="A27" s="73"/>
      <c r="B27" s="61"/>
      <c r="C27" s="251" t="s">
        <v>173</v>
      </c>
      <c r="D27" s="252">
        <v>250</v>
      </c>
      <c r="E27" s="252"/>
      <c r="F27" s="252">
        <f>25+25</f>
        <v>50</v>
      </c>
      <c r="G27" s="252"/>
      <c r="H27" s="252">
        <f>D27-F27</f>
        <v>200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17987.439999999999</v>
      </c>
      <c r="E28" s="255"/>
      <c r="F28" s="254">
        <f>SUM(F26:F27)</f>
        <v>10003.64</v>
      </c>
      <c r="G28" s="255"/>
      <c r="H28" s="254">
        <f>SUM(H26:H27)</f>
        <v>7983.7999999999993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9:I27">
    <cfRule type="cellIs" dxfId="14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627"/>
  <sheetViews>
    <sheetView zoomScaleNormal="100" workbookViewId="0">
      <selection activeCell="N26" sqref="N2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.140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5703125" style="65" customWidth="1"/>
    <col min="10" max="16384" width="11.42578125" style="65"/>
  </cols>
  <sheetData>
    <row r="1" spans="1:10" s="35" customFormat="1" ht="24.75" customHeight="1" x14ac:dyDescent="0.25">
      <c r="A1" s="2" t="str">
        <f>'RECAP #9454.00'!B1</f>
        <v>DOC ICIW Building 9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#9454.00'!B2</f>
        <v>Project # 9454.00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#9454.00'!B3</f>
        <v>Program code 9454.00</v>
      </c>
      <c r="B3" s="5"/>
      <c r="C3" s="5"/>
      <c r="D3" s="4"/>
      <c r="E3" s="8" t="str">
        <f>'RECAP #9454.00'!E3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160</v>
      </c>
      <c r="F6" s="50"/>
      <c r="G6" s="51"/>
      <c r="H6" s="47"/>
      <c r="I6" s="42"/>
    </row>
    <row r="7" spans="1:10" s="35" customFormat="1" ht="15.75" x14ac:dyDescent="0.25">
      <c r="A7" s="13" t="str">
        <f>'RECAP #9454.00'!B6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18000</v>
      </c>
      <c r="F9" s="63">
        <f>E9</f>
        <v>18000</v>
      </c>
      <c r="G9" s="64"/>
      <c r="H9" s="64"/>
      <c r="I9" s="64">
        <f>F9</f>
        <v>18000</v>
      </c>
    </row>
    <row r="10" spans="1:10" x14ac:dyDescent="0.2">
      <c r="A10" s="257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1" si="0">F9+E10</f>
        <v>18000</v>
      </c>
      <c r="G10" s="258">
        <f>55.03+23.14</f>
        <v>78.17</v>
      </c>
      <c r="H10" s="64">
        <f t="shared" ref="H10:H21" si="1">H9+G10</f>
        <v>78.17</v>
      </c>
      <c r="I10" s="64">
        <f t="shared" ref="I10:I21" si="2">I9-G10+E10</f>
        <v>17921.830000000002</v>
      </c>
    </row>
    <row r="11" spans="1:10" x14ac:dyDescent="0.2">
      <c r="A11" s="257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18000</v>
      </c>
      <c r="G11" s="258">
        <f>29+371.8</f>
        <v>400.8</v>
      </c>
      <c r="H11" s="64">
        <f t="shared" si="1"/>
        <v>478.97</v>
      </c>
      <c r="I11" s="64">
        <f t="shared" si="2"/>
        <v>17521.030000000002</v>
      </c>
    </row>
    <row r="12" spans="1:10" x14ac:dyDescent="0.2">
      <c r="A12" s="257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18000</v>
      </c>
      <c r="G12" s="258">
        <f>137.15+49.79</f>
        <v>186.94</v>
      </c>
      <c r="H12" s="64">
        <f t="shared" si="1"/>
        <v>665.91000000000008</v>
      </c>
      <c r="I12" s="64">
        <f t="shared" si="2"/>
        <v>17334.090000000004</v>
      </c>
    </row>
    <row r="13" spans="1:10" x14ac:dyDescent="0.2">
      <c r="A13" s="257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18000</v>
      </c>
      <c r="G13" s="258">
        <f>107.5+1553.2</f>
        <v>1660.7</v>
      </c>
      <c r="H13" s="64">
        <f t="shared" si="1"/>
        <v>2326.61</v>
      </c>
      <c r="I13" s="64">
        <f t="shared" si="2"/>
        <v>15673.390000000003</v>
      </c>
    </row>
    <row r="14" spans="1:10" x14ac:dyDescent="0.2">
      <c r="A14" s="257" t="s">
        <v>268</v>
      </c>
      <c r="B14" s="60">
        <v>45603</v>
      </c>
      <c r="C14" s="246">
        <v>2507</v>
      </c>
      <c r="D14" s="83" t="s">
        <v>269</v>
      </c>
      <c r="E14" s="63"/>
      <c r="F14" s="63">
        <f t="shared" si="0"/>
        <v>18000</v>
      </c>
      <c r="G14" s="258">
        <f>107.94+220.18</f>
        <v>328.12</v>
      </c>
      <c r="H14" s="64">
        <f t="shared" si="1"/>
        <v>2654.73</v>
      </c>
      <c r="I14" s="64">
        <f t="shared" si="2"/>
        <v>15345.270000000002</v>
      </c>
    </row>
    <row r="15" spans="1:10" x14ac:dyDescent="0.2">
      <c r="A15" s="257" t="s">
        <v>268</v>
      </c>
      <c r="B15" s="60">
        <v>45603</v>
      </c>
      <c r="C15" s="246">
        <v>9500</v>
      </c>
      <c r="D15" s="83" t="s">
        <v>270</v>
      </c>
      <c r="E15" s="63"/>
      <c r="F15" s="63">
        <f t="shared" si="0"/>
        <v>18000</v>
      </c>
      <c r="G15" s="258">
        <f>168+2019.6</f>
        <v>2187.6</v>
      </c>
      <c r="H15" s="64">
        <f t="shared" si="1"/>
        <v>4842.33</v>
      </c>
      <c r="I15" s="64">
        <f t="shared" si="2"/>
        <v>13157.670000000002</v>
      </c>
    </row>
    <row r="16" spans="1:10" x14ac:dyDescent="0.2">
      <c r="A16" s="257" t="s">
        <v>345</v>
      </c>
      <c r="B16" s="275">
        <v>45635</v>
      </c>
      <c r="C16" s="276">
        <v>2507</v>
      </c>
      <c r="D16" s="277" t="s">
        <v>346</v>
      </c>
      <c r="E16" s="63"/>
      <c r="F16" s="63">
        <f t="shared" si="0"/>
        <v>18000</v>
      </c>
      <c r="G16" s="258">
        <f>53.34+96.77</f>
        <v>150.11000000000001</v>
      </c>
      <c r="H16" s="64">
        <f t="shared" si="1"/>
        <v>4992.4399999999996</v>
      </c>
      <c r="I16" s="64">
        <f t="shared" si="2"/>
        <v>13007.560000000001</v>
      </c>
    </row>
    <row r="17" spans="1:9" x14ac:dyDescent="0.2">
      <c r="A17" s="257" t="s">
        <v>345</v>
      </c>
      <c r="B17" s="275">
        <v>45635</v>
      </c>
      <c r="C17" s="276">
        <v>9500</v>
      </c>
      <c r="D17" s="278" t="s">
        <v>347</v>
      </c>
      <c r="E17" s="63"/>
      <c r="F17" s="63">
        <f t="shared" si="0"/>
        <v>18000</v>
      </c>
      <c r="G17" s="258">
        <f>66.5+928.4</f>
        <v>994.9</v>
      </c>
      <c r="H17" s="64">
        <f t="shared" si="1"/>
        <v>5987.3399999999992</v>
      </c>
      <c r="I17" s="64">
        <f t="shared" si="2"/>
        <v>12012.660000000002</v>
      </c>
    </row>
    <row r="18" spans="1:9" x14ac:dyDescent="0.2">
      <c r="A18" s="85"/>
      <c r="B18" s="60"/>
      <c r="C18" s="60"/>
      <c r="D18" s="83"/>
      <c r="E18" s="63"/>
      <c r="F18" s="63">
        <f t="shared" si="0"/>
        <v>18000</v>
      </c>
      <c r="G18" s="67"/>
      <c r="H18" s="64">
        <f t="shared" si="1"/>
        <v>5987.3399999999992</v>
      </c>
      <c r="I18" s="64">
        <f t="shared" si="2"/>
        <v>12012.660000000002</v>
      </c>
    </row>
    <row r="19" spans="1:9" x14ac:dyDescent="0.2">
      <c r="A19" s="82"/>
      <c r="B19" s="60"/>
      <c r="C19" s="60"/>
      <c r="D19" s="83"/>
      <c r="E19" s="63"/>
      <c r="F19" s="63">
        <f t="shared" si="0"/>
        <v>18000</v>
      </c>
      <c r="G19" s="67"/>
      <c r="H19" s="64">
        <f t="shared" si="1"/>
        <v>5987.3399999999992</v>
      </c>
      <c r="I19" s="64">
        <f t="shared" si="2"/>
        <v>12012.660000000002</v>
      </c>
    </row>
    <row r="20" spans="1:9" x14ac:dyDescent="0.2">
      <c r="A20" s="82"/>
      <c r="B20" s="60"/>
      <c r="C20" s="60"/>
      <c r="D20" s="83"/>
      <c r="E20" s="63"/>
      <c r="F20" s="63">
        <f t="shared" si="0"/>
        <v>18000</v>
      </c>
      <c r="G20" s="67"/>
      <c r="H20" s="64">
        <f t="shared" si="1"/>
        <v>5987.3399999999992</v>
      </c>
      <c r="I20" s="64">
        <f t="shared" si="2"/>
        <v>12012.660000000002</v>
      </c>
    </row>
    <row r="21" spans="1:9" x14ac:dyDescent="0.2">
      <c r="A21" s="82"/>
      <c r="B21" s="60"/>
      <c r="C21" s="60"/>
      <c r="D21" s="86"/>
      <c r="E21" s="63"/>
      <c r="F21" s="63">
        <f t="shared" si="0"/>
        <v>18000</v>
      </c>
      <c r="G21" s="67"/>
      <c r="H21" s="64">
        <f t="shared" si="1"/>
        <v>5987.3399999999992</v>
      </c>
      <c r="I21" s="64">
        <f t="shared" si="2"/>
        <v>12012.660000000002</v>
      </c>
    </row>
    <row r="22" spans="1:9" x14ac:dyDescent="0.2">
      <c r="A22" s="73"/>
      <c r="B22" s="61"/>
      <c r="C22" s="61"/>
      <c r="D22" s="69"/>
      <c r="E22" s="64"/>
      <c r="F22" s="64"/>
      <c r="G22" s="67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18000</v>
      </c>
      <c r="F23" s="72"/>
      <c r="G23" s="72">
        <f>SUM(G9:G22)</f>
        <v>5987.3399999999992</v>
      </c>
      <c r="H23" s="72"/>
      <c r="I23" s="72">
        <f>E23-G23</f>
        <v>12012.66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D41"/>
  <sheetViews>
    <sheetView zoomScaleNormal="100" workbookViewId="0">
      <selection activeCell="E27" sqref="E27"/>
    </sheetView>
  </sheetViews>
  <sheetFormatPr defaultColWidth="11.42578125" defaultRowHeight="12.75" x14ac:dyDescent="0.2"/>
  <cols>
    <col min="1" max="1" width="18.140625" style="74" customWidth="1"/>
    <col min="2" max="2" width="11" style="69" customWidth="1"/>
    <col min="3" max="3" width="8.5703125" style="69" customWidth="1"/>
    <col min="4" max="4" width="11.42578125" style="69" customWidth="1"/>
    <col min="5" max="5" width="36.5703125" style="45" customWidth="1"/>
    <col min="6" max="6" width="15.285156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#9454.00'!B1</f>
        <v>DOC ICIW Building 9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#9454.00'!B2</f>
        <v>Project # 9454.00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#9454.00'!B3</f>
        <v>Program code 9454.00</v>
      </c>
      <c r="E3" s="8" t="str">
        <f>'RECAP #9454.00'!E3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367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#9454.00'!B6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217</v>
      </c>
      <c r="B9" s="60">
        <v>45583</v>
      </c>
      <c r="C9" s="74" t="s">
        <v>216</v>
      </c>
      <c r="D9" s="74" t="s">
        <v>215</v>
      </c>
      <c r="E9" s="91" t="s">
        <v>213</v>
      </c>
      <c r="F9" s="92" t="s">
        <v>214</v>
      </c>
      <c r="G9" s="258">
        <v>425.88</v>
      </c>
      <c r="H9" s="75">
        <f>G9</f>
        <v>425.88</v>
      </c>
    </row>
    <row r="10" spans="1:30" x14ac:dyDescent="0.2">
      <c r="A10" s="91" t="s">
        <v>365</v>
      </c>
      <c r="B10" s="60">
        <v>45646</v>
      </c>
      <c r="C10" s="74">
        <v>9500</v>
      </c>
      <c r="D10" s="74" t="s">
        <v>215</v>
      </c>
      <c r="E10" s="45" t="s">
        <v>368</v>
      </c>
      <c r="F10" s="279" t="s">
        <v>366</v>
      </c>
      <c r="G10" s="258">
        <v>500</v>
      </c>
      <c r="H10" s="75">
        <f>H9+G10</f>
        <v>925.88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925.88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925.88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925.88</v>
      </c>
    </row>
    <row r="14" spans="1:30" x14ac:dyDescent="0.2">
      <c r="A14" s="93"/>
      <c r="B14" s="60"/>
      <c r="C14" s="60"/>
      <c r="D14" s="60"/>
      <c r="F14" s="28"/>
      <c r="H14" s="75">
        <f t="shared" si="0"/>
        <v>925.88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925.88</v>
      </c>
    </row>
    <row r="16" spans="1:30" x14ac:dyDescent="0.2">
      <c r="A16" s="93"/>
      <c r="B16" s="60"/>
      <c r="C16" s="60"/>
      <c r="D16" s="60"/>
      <c r="F16" s="28"/>
      <c r="H16" s="75">
        <f t="shared" si="0"/>
        <v>925.88</v>
      </c>
    </row>
    <row r="17" spans="1:30" x14ac:dyDescent="0.2">
      <c r="B17" s="60"/>
      <c r="C17" s="60"/>
      <c r="D17" s="60"/>
      <c r="F17" s="28"/>
      <c r="H17" s="75">
        <f t="shared" si="0"/>
        <v>925.88</v>
      </c>
    </row>
    <row r="18" spans="1:30" x14ac:dyDescent="0.2">
      <c r="B18" s="60"/>
      <c r="C18" s="60"/>
      <c r="D18" s="60"/>
      <c r="F18" s="28"/>
      <c r="H18" s="75">
        <f t="shared" si="0"/>
        <v>925.88</v>
      </c>
    </row>
    <row r="19" spans="1:30" x14ac:dyDescent="0.2">
      <c r="B19" s="60"/>
      <c r="C19" s="60"/>
      <c r="D19" s="60"/>
      <c r="F19" s="28"/>
      <c r="H19" s="75">
        <f t="shared" si="0"/>
        <v>925.88</v>
      </c>
    </row>
    <row r="20" spans="1:30" x14ac:dyDescent="0.2">
      <c r="B20" s="60"/>
      <c r="C20" s="60"/>
      <c r="D20" s="60"/>
      <c r="F20" s="28"/>
      <c r="H20" s="75">
        <f t="shared" si="0"/>
        <v>925.88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925.88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V629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140625" style="65" customWidth="1"/>
    <col min="9" max="16384" width="11.42578125" style="65"/>
  </cols>
  <sheetData>
    <row r="1" spans="1:9" s="35" customFormat="1" ht="24.75" customHeight="1" x14ac:dyDescent="0.25">
      <c r="A1" s="2" t="str">
        <f>'RECAP #9454.00'!B1</f>
        <v>DOC ICIW Building 9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#9454.00'!B2</f>
        <v>Project # 9454.00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#9454.00'!B3</f>
        <v>Program code 9454.00</v>
      </c>
      <c r="B3" s="5"/>
      <c r="C3" s="4"/>
      <c r="D3" s="8" t="str">
        <f>'RECAP #9454.00'!E3</f>
        <v>Major Program 4B01</v>
      </c>
      <c r="E3" s="4"/>
      <c r="F3" s="34"/>
      <c r="G3" s="34"/>
    </row>
    <row r="4" spans="1:9" s="35" customFormat="1" ht="15.75" x14ac:dyDescent="0.25">
      <c r="A4" s="36" t="s">
        <v>199</v>
      </c>
      <c r="B4" s="37"/>
      <c r="C4" s="38"/>
      <c r="D4" s="39" t="s">
        <v>201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202</v>
      </c>
      <c r="E5" s="45"/>
      <c r="F5" s="46"/>
      <c r="G5" s="47"/>
      <c r="H5" s="42"/>
    </row>
    <row r="6" spans="1:9" s="35" customFormat="1" ht="15.75" x14ac:dyDescent="0.25">
      <c r="A6" s="13" t="str">
        <f>'RECAP #9454.00'!B6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204</v>
      </c>
      <c r="B9" s="60">
        <v>45575</v>
      </c>
      <c r="C9" s="61" t="s">
        <v>167</v>
      </c>
      <c r="D9" s="247">
        <v>18400</v>
      </c>
      <c r="E9" s="63">
        <f>D9</f>
        <v>18400</v>
      </c>
      <c r="F9" s="64"/>
      <c r="G9" s="64"/>
      <c r="H9" s="64">
        <f>E9</f>
        <v>18400</v>
      </c>
    </row>
    <row r="10" spans="1:9" x14ac:dyDescent="0.2">
      <c r="A10" s="59" t="s">
        <v>252</v>
      </c>
      <c r="B10" s="66">
        <v>45602</v>
      </c>
      <c r="C10" s="61" t="s">
        <v>253</v>
      </c>
      <c r="D10" s="63"/>
      <c r="E10" s="63">
        <f t="shared" ref="E10:E21" si="0">E9+D10</f>
        <v>18400</v>
      </c>
      <c r="F10" s="258">
        <v>3196.88</v>
      </c>
      <c r="G10" s="64">
        <f t="shared" ref="G10:G21" si="1">G9+F10</f>
        <v>3196.88</v>
      </c>
      <c r="H10" s="64">
        <f t="shared" ref="H10:H21" si="2">H9-F10+D10</f>
        <v>15203.119999999999</v>
      </c>
    </row>
    <row r="11" spans="1:9" x14ac:dyDescent="0.2">
      <c r="A11" s="59" t="s">
        <v>321</v>
      </c>
      <c r="B11" s="60">
        <v>45629</v>
      </c>
      <c r="C11" s="61" t="s">
        <v>322</v>
      </c>
      <c r="D11" s="63"/>
      <c r="E11" s="63">
        <f t="shared" si="0"/>
        <v>18400</v>
      </c>
      <c r="F11" s="258">
        <v>2580</v>
      </c>
      <c r="G11" s="64">
        <f t="shared" si="1"/>
        <v>5776.88</v>
      </c>
      <c r="H11" s="64">
        <f t="shared" si="2"/>
        <v>12623.119999999999</v>
      </c>
    </row>
    <row r="12" spans="1:9" x14ac:dyDescent="0.2">
      <c r="A12" s="59"/>
      <c r="B12" s="60"/>
      <c r="C12" s="61"/>
      <c r="D12" s="63"/>
      <c r="E12" s="63">
        <f t="shared" si="0"/>
        <v>18400</v>
      </c>
      <c r="F12" s="67"/>
      <c r="G12" s="64">
        <f t="shared" si="1"/>
        <v>5776.88</v>
      </c>
      <c r="H12" s="64">
        <f t="shared" si="2"/>
        <v>12623.119999999999</v>
      </c>
    </row>
    <row r="13" spans="1:9" x14ac:dyDescent="0.2">
      <c r="A13" s="59"/>
      <c r="B13" s="60"/>
      <c r="C13" s="61"/>
      <c r="D13" s="63"/>
      <c r="E13" s="63">
        <f t="shared" si="0"/>
        <v>18400</v>
      </c>
      <c r="F13" s="67"/>
      <c r="G13" s="64">
        <f t="shared" si="1"/>
        <v>5776.88</v>
      </c>
      <c r="H13" s="64">
        <f t="shared" si="2"/>
        <v>12623.119999999999</v>
      </c>
    </row>
    <row r="14" spans="1:9" x14ac:dyDescent="0.2">
      <c r="A14" s="59"/>
      <c r="B14" s="60"/>
      <c r="C14" s="61"/>
      <c r="D14" s="63"/>
      <c r="E14" s="63">
        <f t="shared" si="0"/>
        <v>18400</v>
      </c>
      <c r="F14" s="64"/>
      <c r="G14" s="64">
        <f t="shared" si="1"/>
        <v>5776.88</v>
      </c>
      <c r="H14" s="64">
        <f t="shared" si="2"/>
        <v>12623.119999999999</v>
      </c>
    </row>
    <row r="15" spans="1:9" x14ac:dyDescent="0.2">
      <c r="A15" s="59"/>
      <c r="B15" s="60"/>
      <c r="C15" s="61"/>
      <c r="D15" s="63"/>
      <c r="E15" s="63">
        <f t="shared" si="0"/>
        <v>18400</v>
      </c>
      <c r="F15" s="67"/>
      <c r="G15" s="64">
        <f t="shared" si="1"/>
        <v>5776.88</v>
      </c>
      <c r="H15" s="64">
        <f t="shared" si="2"/>
        <v>12623.119999999999</v>
      </c>
    </row>
    <row r="16" spans="1:9" x14ac:dyDescent="0.2">
      <c r="A16" s="59"/>
      <c r="B16" s="60"/>
      <c r="C16" s="61"/>
      <c r="D16" s="63"/>
      <c r="E16" s="63">
        <f t="shared" si="0"/>
        <v>18400</v>
      </c>
      <c r="F16" s="67"/>
      <c r="G16" s="64">
        <f t="shared" si="1"/>
        <v>5776.88</v>
      </c>
      <c r="H16" s="64">
        <f t="shared" si="2"/>
        <v>12623.119999999999</v>
      </c>
    </row>
    <row r="17" spans="1:8" x14ac:dyDescent="0.2">
      <c r="A17" s="59"/>
      <c r="B17" s="60"/>
      <c r="C17" s="61"/>
      <c r="D17" s="63"/>
      <c r="E17" s="63">
        <f t="shared" si="0"/>
        <v>18400</v>
      </c>
      <c r="F17" s="67"/>
      <c r="G17" s="64">
        <f t="shared" si="1"/>
        <v>5776.88</v>
      </c>
      <c r="H17" s="64">
        <f t="shared" si="2"/>
        <v>12623.119999999999</v>
      </c>
    </row>
    <row r="18" spans="1:8" x14ac:dyDescent="0.2">
      <c r="A18" s="59"/>
      <c r="B18" s="60"/>
      <c r="C18" s="61"/>
      <c r="D18" s="63"/>
      <c r="E18" s="63">
        <f t="shared" si="0"/>
        <v>18400</v>
      </c>
      <c r="F18" s="67"/>
      <c r="G18" s="64">
        <f t="shared" si="1"/>
        <v>5776.88</v>
      </c>
      <c r="H18" s="64">
        <f t="shared" si="2"/>
        <v>12623.119999999999</v>
      </c>
    </row>
    <row r="19" spans="1:8" x14ac:dyDescent="0.2">
      <c r="A19" s="59"/>
      <c r="B19" s="60"/>
      <c r="C19" s="61"/>
      <c r="D19" s="63"/>
      <c r="E19" s="63">
        <f t="shared" si="0"/>
        <v>18400</v>
      </c>
      <c r="F19" s="64"/>
      <c r="G19" s="64">
        <f t="shared" si="1"/>
        <v>5776.88</v>
      </c>
      <c r="H19" s="64">
        <f t="shared" si="2"/>
        <v>12623.119999999999</v>
      </c>
    </row>
    <row r="20" spans="1:8" x14ac:dyDescent="0.2">
      <c r="A20" s="59"/>
      <c r="B20" s="60"/>
      <c r="C20" s="61"/>
      <c r="D20" s="63"/>
      <c r="E20" s="63">
        <f t="shared" si="0"/>
        <v>18400</v>
      </c>
      <c r="F20" s="64"/>
      <c r="G20" s="64">
        <f t="shared" si="1"/>
        <v>5776.88</v>
      </c>
      <c r="H20" s="64">
        <f t="shared" si="2"/>
        <v>12623.119999999999</v>
      </c>
    </row>
    <row r="21" spans="1:8" x14ac:dyDescent="0.2">
      <c r="A21" s="59"/>
      <c r="B21" s="60"/>
      <c r="C21" s="68"/>
      <c r="D21" s="63"/>
      <c r="E21" s="63">
        <f t="shared" si="0"/>
        <v>18400</v>
      </c>
      <c r="F21" s="64"/>
      <c r="G21" s="64">
        <f t="shared" si="1"/>
        <v>5776.88</v>
      </c>
      <c r="H21" s="64">
        <f t="shared" si="2"/>
        <v>12623.119999999999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18400</v>
      </c>
      <c r="E23" s="72"/>
      <c r="F23" s="72">
        <f>SUM(F9:F22)</f>
        <v>5776.88</v>
      </c>
      <c r="G23" s="72"/>
      <c r="H23" s="72">
        <f>D23-F23</f>
        <v>12623.119999999999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205</v>
      </c>
      <c r="D26" s="252">
        <v>4262.5</v>
      </c>
      <c r="E26" s="252"/>
      <c r="F26" s="252">
        <f>3196.88+1065.62</f>
        <v>4262.5</v>
      </c>
      <c r="G26" s="252"/>
      <c r="H26" s="252">
        <f>D26-F26</f>
        <v>0</v>
      </c>
    </row>
    <row r="27" spans="1:8" x14ac:dyDescent="0.2">
      <c r="A27" s="73"/>
      <c r="B27" s="61"/>
      <c r="C27" s="251" t="s">
        <v>206</v>
      </c>
      <c r="D27" s="252">
        <v>6057.5</v>
      </c>
      <c r="E27" s="252"/>
      <c r="F27" s="252">
        <f>1514.38</f>
        <v>1514.38</v>
      </c>
      <c r="G27" s="252"/>
      <c r="H27" s="252">
        <f>D27-F27</f>
        <v>4543.12</v>
      </c>
    </row>
    <row r="28" spans="1:8" x14ac:dyDescent="0.2">
      <c r="A28" s="73"/>
      <c r="B28" s="61"/>
      <c r="C28" s="251" t="s">
        <v>207</v>
      </c>
      <c r="D28" s="252">
        <v>1417.5</v>
      </c>
      <c r="E28" s="252"/>
      <c r="F28" s="252"/>
      <c r="G28" s="252"/>
      <c r="H28" s="252">
        <f>D28-F28</f>
        <v>1417.5</v>
      </c>
    </row>
    <row r="29" spans="1:8" x14ac:dyDescent="0.2">
      <c r="A29" s="73"/>
      <c r="B29" s="61"/>
      <c r="C29" s="251" t="s">
        <v>208</v>
      </c>
      <c r="D29" s="252">
        <v>5912.5</v>
      </c>
      <c r="E29" s="252"/>
      <c r="F29" s="252"/>
      <c r="G29" s="252"/>
      <c r="H29" s="252">
        <f>D29-F29</f>
        <v>5912.5</v>
      </c>
    </row>
    <row r="30" spans="1:8" x14ac:dyDescent="0.2">
      <c r="A30" s="73"/>
      <c r="B30" s="61"/>
      <c r="C30" s="251" t="s">
        <v>173</v>
      </c>
      <c r="D30" s="252">
        <v>750</v>
      </c>
      <c r="E30" s="252"/>
      <c r="F30" s="252"/>
      <c r="G30" s="252"/>
      <c r="H30" s="252">
        <f>D30-F30</f>
        <v>750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18400</v>
      </c>
      <c r="E31" s="255"/>
      <c r="F31" s="254">
        <f>SUM(F26:F30)</f>
        <v>5776.88</v>
      </c>
      <c r="G31" s="255"/>
      <c r="H31" s="254">
        <f>SUM(H26:H30)</f>
        <v>12623.119999999999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x14ac:dyDescent="0.2">
      <c r="E50" s="79"/>
    </row>
    <row r="51" spans="1:256" x14ac:dyDescent="0.2">
      <c r="E51" s="79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  <row r="628" spans="1:256" s="80" customFormat="1" x14ac:dyDescent="0.2">
      <c r="A628" s="76"/>
      <c r="B628" s="77"/>
      <c r="C628" s="78"/>
      <c r="D628" s="65"/>
      <c r="E628" s="79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  <c r="AV628" s="65"/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  <c r="BW628" s="65"/>
      <c r="BX628" s="65"/>
      <c r="BY628" s="65"/>
      <c r="BZ628" s="65"/>
      <c r="CA628" s="65"/>
      <c r="CB628" s="65"/>
      <c r="CC628" s="65"/>
      <c r="CD628" s="65"/>
      <c r="CE628" s="65"/>
      <c r="CF628" s="65"/>
      <c r="CG628" s="65"/>
      <c r="CH628" s="65"/>
      <c r="CI628" s="65"/>
      <c r="CJ628" s="65"/>
      <c r="CK628" s="65"/>
      <c r="CL628" s="65"/>
      <c r="CM628" s="65"/>
      <c r="CN628" s="65"/>
      <c r="CO628" s="65"/>
      <c r="CP628" s="65"/>
      <c r="CQ628" s="65"/>
      <c r="CR628" s="65"/>
      <c r="CS628" s="65"/>
      <c r="CT628" s="65"/>
      <c r="CU628" s="65"/>
      <c r="CV628" s="65"/>
      <c r="CW628" s="65"/>
      <c r="CX628" s="65"/>
      <c r="CY628" s="65"/>
      <c r="CZ628" s="65"/>
      <c r="DA628" s="65"/>
      <c r="DB628" s="65"/>
      <c r="DC628" s="65"/>
      <c r="DD628" s="65"/>
      <c r="DE628" s="65"/>
      <c r="DF628" s="65"/>
      <c r="DG628" s="65"/>
      <c r="DH628" s="65"/>
      <c r="DI628" s="65"/>
      <c r="DJ628" s="65"/>
      <c r="DK628" s="65"/>
      <c r="DL628" s="65"/>
      <c r="DM628" s="65"/>
      <c r="DN628" s="65"/>
      <c r="DO628" s="65"/>
      <c r="DP628" s="65"/>
      <c r="DQ628" s="65"/>
      <c r="DR628" s="65"/>
      <c r="DS628" s="65"/>
      <c r="DT628" s="65"/>
      <c r="DU628" s="65"/>
      <c r="DV628" s="65"/>
      <c r="DW628" s="65"/>
      <c r="DX628" s="65"/>
      <c r="DY628" s="65"/>
      <c r="DZ628" s="65"/>
      <c r="EA628" s="65"/>
      <c r="EB628" s="65"/>
      <c r="EC628" s="65"/>
      <c r="ED628" s="65"/>
      <c r="EE628" s="65"/>
      <c r="EF628" s="65"/>
      <c r="EG628" s="65"/>
      <c r="EH628" s="65"/>
      <c r="EI628" s="65"/>
      <c r="EJ628" s="65"/>
      <c r="EK628" s="65"/>
      <c r="EL628" s="65"/>
      <c r="EM628" s="65"/>
      <c r="EN628" s="65"/>
      <c r="EO628" s="65"/>
      <c r="EP628" s="65"/>
      <c r="EQ628" s="65"/>
      <c r="ER628" s="65"/>
      <c r="ES628" s="65"/>
      <c r="ET628" s="65"/>
      <c r="EU628" s="65"/>
      <c r="EV628" s="65"/>
      <c r="EW628" s="65"/>
      <c r="EX628" s="65"/>
      <c r="EY628" s="65"/>
      <c r="EZ628" s="65"/>
      <c r="FA628" s="65"/>
      <c r="FB628" s="65"/>
      <c r="FC628" s="65"/>
      <c r="FD628" s="65"/>
      <c r="FE628" s="65"/>
      <c r="FF628" s="65"/>
      <c r="FG628" s="65"/>
      <c r="FH628" s="65"/>
      <c r="FI628" s="65"/>
      <c r="FJ628" s="65"/>
      <c r="FK628" s="65"/>
      <c r="FL628" s="65"/>
      <c r="FM628" s="65"/>
      <c r="FN628" s="65"/>
      <c r="FO628" s="65"/>
      <c r="FP628" s="65"/>
      <c r="FQ628" s="65"/>
      <c r="FR628" s="65"/>
      <c r="FS628" s="65"/>
      <c r="FT628" s="65"/>
      <c r="FU628" s="65"/>
      <c r="FV628" s="65"/>
      <c r="FW628" s="65"/>
      <c r="FX628" s="65"/>
      <c r="FY628" s="65"/>
      <c r="FZ628" s="65"/>
      <c r="GA628" s="65"/>
      <c r="GB628" s="65"/>
      <c r="GC628" s="65"/>
      <c r="GD628" s="65"/>
      <c r="GE628" s="65"/>
      <c r="GF628" s="65"/>
      <c r="GG628" s="65"/>
      <c r="GH628" s="65"/>
      <c r="GI628" s="65"/>
      <c r="GJ628" s="65"/>
      <c r="GK628" s="65"/>
      <c r="GL628" s="65"/>
      <c r="GM628" s="65"/>
      <c r="GN628" s="65"/>
      <c r="GO628" s="65"/>
      <c r="GP628" s="65"/>
      <c r="GQ628" s="65"/>
      <c r="GR628" s="65"/>
      <c r="GS628" s="65"/>
      <c r="GT628" s="65"/>
      <c r="GU628" s="65"/>
      <c r="GV628" s="65"/>
      <c r="GW628" s="65"/>
      <c r="GX628" s="65"/>
      <c r="GY628" s="65"/>
      <c r="GZ628" s="65"/>
      <c r="HA628" s="65"/>
      <c r="HB628" s="65"/>
      <c r="HC628" s="65"/>
      <c r="HD628" s="65"/>
      <c r="HE628" s="65"/>
      <c r="HF628" s="65"/>
      <c r="HG628" s="65"/>
      <c r="HH628" s="65"/>
      <c r="HI628" s="65"/>
      <c r="HJ628" s="65"/>
      <c r="HK628" s="65"/>
      <c r="HL628" s="65"/>
      <c r="HM628" s="65"/>
      <c r="HN628" s="65"/>
      <c r="HO628" s="65"/>
      <c r="HP628" s="65"/>
      <c r="HQ628" s="65"/>
      <c r="HR628" s="65"/>
      <c r="HS628" s="65"/>
      <c r="HT628" s="65"/>
      <c r="HU628" s="65"/>
      <c r="HV628" s="65"/>
      <c r="HW628" s="65"/>
      <c r="HX628" s="65"/>
      <c r="HY628" s="65"/>
      <c r="HZ628" s="65"/>
      <c r="IA628" s="65"/>
      <c r="IB628" s="65"/>
      <c r="IC628" s="65"/>
      <c r="ID628" s="65"/>
      <c r="IE628" s="65"/>
      <c r="IF628" s="65"/>
      <c r="IG628" s="65"/>
      <c r="IH628" s="65"/>
      <c r="II628" s="65"/>
      <c r="IJ628" s="65"/>
      <c r="IK628" s="65"/>
      <c r="IL628" s="65"/>
      <c r="IM628" s="65"/>
      <c r="IN628" s="65"/>
      <c r="IO628" s="65"/>
      <c r="IP628" s="65"/>
      <c r="IQ628" s="65"/>
      <c r="IR628" s="65"/>
      <c r="IS628" s="65"/>
      <c r="IT628" s="65"/>
      <c r="IU628" s="65"/>
      <c r="IV628" s="65"/>
    </row>
    <row r="629" spans="1:256" s="80" customFormat="1" x14ac:dyDescent="0.2">
      <c r="A629" s="76"/>
      <c r="B629" s="77"/>
      <c r="C629" s="78"/>
      <c r="D629" s="65"/>
      <c r="E629" s="79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  <c r="AV629" s="65"/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  <c r="BW629" s="65"/>
      <c r="BX629" s="65"/>
      <c r="BY629" s="65"/>
      <c r="BZ629" s="65"/>
      <c r="CA629" s="65"/>
      <c r="CB629" s="65"/>
      <c r="CC629" s="65"/>
      <c r="CD629" s="65"/>
      <c r="CE629" s="65"/>
      <c r="CF629" s="65"/>
      <c r="CG629" s="65"/>
      <c r="CH629" s="65"/>
      <c r="CI629" s="65"/>
      <c r="CJ629" s="65"/>
      <c r="CK629" s="65"/>
      <c r="CL629" s="65"/>
      <c r="CM629" s="65"/>
      <c r="CN629" s="65"/>
      <c r="CO629" s="65"/>
      <c r="CP629" s="65"/>
      <c r="CQ629" s="65"/>
      <c r="CR629" s="65"/>
      <c r="CS629" s="65"/>
      <c r="CT629" s="65"/>
      <c r="CU629" s="65"/>
      <c r="CV629" s="65"/>
      <c r="CW629" s="65"/>
      <c r="CX629" s="65"/>
      <c r="CY629" s="65"/>
      <c r="CZ629" s="65"/>
      <c r="DA629" s="65"/>
      <c r="DB629" s="65"/>
      <c r="DC629" s="65"/>
      <c r="DD629" s="65"/>
      <c r="DE629" s="65"/>
      <c r="DF629" s="65"/>
      <c r="DG629" s="65"/>
      <c r="DH629" s="65"/>
      <c r="DI629" s="65"/>
      <c r="DJ629" s="65"/>
      <c r="DK629" s="65"/>
      <c r="DL629" s="65"/>
      <c r="DM629" s="65"/>
      <c r="DN629" s="65"/>
      <c r="DO629" s="65"/>
      <c r="DP629" s="65"/>
      <c r="DQ629" s="65"/>
      <c r="DR629" s="65"/>
      <c r="DS629" s="65"/>
      <c r="DT629" s="65"/>
      <c r="DU629" s="65"/>
      <c r="DV629" s="65"/>
      <c r="DW629" s="65"/>
      <c r="DX629" s="65"/>
      <c r="DY629" s="65"/>
      <c r="DZ629" s="65"/>
      <c r="EA629" s="65"/>
      <c r="EB629" s="65"/>
      <c r="EC629" s="65"/>
      <c r="ED629" s="65"/>
      <c r="EE629" s="65"/>
      <c r="EF629" s="65"/>
      <c r="EG629" s="65"/>
      <c r="EH629" s="65"/>
      <c r="EI629" s="65"/>
      <c r="EJ629" s="65"/>
      <c r="EK629" s="65"/>
      <c r="EL629" s="65"/>
      <c r="EM629" s="65"/>
      <c r="EN629" s="65"/>
      <c r="EO629" s="65"/>
      <c r="EP629" s="65"/>
      <c r="EQ629" s="65"/>
      <c r="ER629" s="65"/>
      <c r="ES629" s="65"/>
      <c r="ET629" s="65"/>
      <c r="EU629" s="65"/>
      <c r="EV629" s="65"/>
      <c r="EW629" s="65"/>
      <c r="EX629" s="65"/>
      <c r="EY629" s="65"/>
      <c r="EZ629" s="65"/>
      <c r="FA629" s="65"/>
      <c r="FB629" s="65"/>
      <c r="FC629" s="65"/>
      <c r="FD629" s="65"/>
      <c r="FE629" s="65"/>
      <c r="FF629" s="65"/>
      <c r="FG629" s="65"/>
      <c r="FH629" s="65"/>
      <c r="FI629" s="65"/>
      <c r="FJ629" s="65"/>
      <c r="FK629" s="65"/>
      <c r="FL629" s="65"/>
      <c r="FM629" s="65"/>
      <c r="FN629" s="65"/>
      <c r="FO629" s="65"/>
      <c r="FP629" s="65"/>
      <c r="FQ629" s="65"/>
      <c r="FR629" s="65"/>
      <c r="FS629" s="65"/>
      <c r="FT629" s="65"/>
      <c r="FU629" s="65"/>
      <c r="FV629" s="65"/>
      <c r="FW629" s="65"/>
      <c r="FX629" s="65"/>
      <c r="FY629" s="65"/>
      <c r="FZ629" s="65"/>
      <c r="GA629" s="65"/>
      <c r="GB629" s="65"/>
      <c r="GC629" s="65"/>
      <c r="GD629" s="65"/>
      <c r="GE629" s="65"/>
      <c r="GF629" s="65"/>
      <c r="GG629" s="65"/>
      <c r="GH629" s="65"/>
      <c r="GI629" s="65"/>
      <c r="GJ629" s="65"/>
      <c r="GK629" s="65"/>
      <c r="GL629" s="65"/>
      <c r="GM629" s="65"/>
      <c r="GN629" s="65"/>
      <c r="GO629" s="65"/>
      <c r="GP629" s="65"/>
      <c r="GQ629" s="65"/>
      <c r="GR629" s="65"/>
      <c r="GS629" s="65"/>
      <c r="GT629" s="65"/>
      <c r="GU629" s="65"/>
      <c r="GV629" s="65"/>
      <c r="GW629" s="65"/>
      <c r="GX629" s="65"/>
      <c r="GY629" s="65"/>
      <c r="GZ629" s="65"/>
      <c r="HA629" s="65"/>
      <c r="HB629" s="65"/>
      <c r="HC629" s="65"/>
      <c r="HD629" s="65"/>
      <c r="HE629" s="65"/>
      <c r="HF629" s="65"/>
      <c r="HG629" s="65"/>
      <c r="HH629" s="65"/>
      <c r="HI629" s="65"/>
      <c r="HJ629" s="65"/>
      <c r="HK629" s="65"/>
      <c r="HL629" s="65"/>
      <c r="HM629" s="65"/>
      <c r="HN629" s="65"/>
      <c r="HO629" s="65"/>
      <c r="HP629" s="65"/>
      <c r="HQ629" s="65"/>
      <c r="HR629" s="65"/>
      <c r="HS629" s="65"/>
      <c r="HT629" s="65"/>
      <c r="HU629" s="65"/>
      <c r="HV629" s="65"/>
      <c r="HW629" s="65"/>
      <c r="HX629" s="65"/>
      <c r="HY629" s="65"/>
      <c r="HZ629" s="65"/>
      <c r="IA629" s="65"/>
      <c r="IB629" s="65"/>
      <c r="IC629" s="65"/>
      <c r="ID629" s="65"/>
      <c r="IE629" s="65"/>
      <c r="IF629" s="65"/>
      <c r="IG629" s="65"/>
      <c r="IH629" s="65"/>
      <c r="II629" s="65"/>
      <c r="IJ629" s="65"/>
      <c r="IK629" s="65"/>
      <c r="IL629" s="65"/>
      <c r="IM629" s="65"/>
      <c r="IN629" s="65"/>
      <c r="IO629" s="65"/>
      <c r="IP629" s="65"/>
      <c r="IQ629" s="65"/>
      <c r="IR629" s="65"/>
      <c r="IS629" s="65"/>
      <c r="IT629" s="65"/>
      <c r="IU629" s="65"/>
      <c r="IV629" s="65"/>
    </row>
  </sheetData>
  <conditionalFormatting sqref="I9:I30">
    <cfRule type="cellIs" dxfId="13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25"/>
  <sheetViews>
    <sheetView zoomScaleNormal="100" workbookViewId="0">
      <selection activeCell="H27" sqref="H2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117</v>
      </c>
      <c r="C1" s="3"/>
    </row>
    <row r="2" spans="1:8" ht="15.75" x14ac:dyDescent="0.25">
      <c r="B2" s="6" t="s">
        <v>139</v>
      </c>
    </row>
    <row r="3" spans="1:8" ht="15.75" x14ac:dyDescent="0.25">
      <c r="B3" s="7" t="s">
        <v>140</v>
      </c>
      <c r="E3" s="8" t="s">
        <v>141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FINANCIAL!G30</f>
        <v>1000000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'#9455.00 Samuels Group'!D28</f>
        <v>45969.22</v>
      </c>
      <c r="E10" s="24">
        <f>'#9455.00 Samuels Group'!F28</f>
        <v>9408.91</v>
      </c>
      <c r="F10" s="24">
        <f>'#9455.00 Samuels Group'!H28</f>
        <v>36560.310000000005</v>
      </c>
      <c r="G10" s="25"/>
      <c r="H10" s="17"/>
    </row>
    <row r="11" spans="1:8" x14ac:dyDescent="0.2">
      <c r="B11" s="5" t="s">
        <v>14</v>
      </c>
      <c r="C11" s="26"/>
      <c r="D11" s="24">
        <f>'#9455.00 PM TIME '!E23</f>
        <v>50000</v>
      </c>
      <c r="E11" s="24">
        <f>'#9455.00 PM TIME '!G23</f>
        <v>3302.66</v>
      </c>
      <c r="F11" s="24">
        <f>'#9455.00 PM TIME '!I23</f>
        <v>46697.34</v>
      </c>
      <c r="G11" s="25"/>
      <c r="H11" s="17"/>
    </row>
    <row r="12" spans="1:8" x14ac:dyDescent="0.2">
      <c r="B12" s="5" t="s">
        <v>15</v>
      </c>
      <c r="C12" s="27"/>
      <c r="D12" s="28">
        <f>'#9455.00 Misc '!G22</f>
        <v>0</v>
      </c>
      <c r="E12" s="28">
        <f>'#9455.00 Misc '!G22</f>
        <v>0</v>
      </c>
      <c r="F12" s="24">
        <f>D12-E12</f>
        <v>0</v>
      </c>
      <c r="G12" s="25"/>
      <c r="H12" s="17"/>
    </row>
    <row r="13" spans="1:8" x14ac:dyDescent="0.2">
      <c r="B13" s="5" t="s">
        <v>303</v>
      </c>
      <c r="C13" s="27"/>
      <c r="D13" s="28">
        <f>'#9455.00 OPN Architects'!D23</f>
        <v>44140</v>
      </c>
      <c r="E13" s="28">
        <f>'#9455.00 OPN Architects'!F23</f>
        <v>0</v>
      </c>
      <c r="F13" s="24">
        <f>'#9455.00 OPN Architects'!H23</f>
        <v>44140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1000000</v>
      </c>
      <c r="D15" s="32">
        <f>SUM(D8:D14)</f>
        <v>140109.22</v>
      </c>
      <c r="E15" s="32">
        <f>SUM(E8:E14)</f>
        <v>12711.57</v>
      </c>
      <c r="F15" s="32">
        <f>SUM(D15-E15)</f>
        <v>127397.65</v>
      </c>
      <c r="G15" s="32">
        <f>C15-D15</f>
        <v>859890.78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#9455.00'!B1</f>
        <v>IDOE ISD Giangreco Hall Water Infiltration Mitigation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#9455.00'!B2</f>
        <v>Project # 9455.00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#9455.00'!B3</f>
        <v>Program code 945500</v>
      </c>
      <c r="B3" s="5"/>
      <c r="C3" s="4"/>
      <c r="D3" s="8" t="str">
        <f>'RECAP #9455.00'!E3</f>
        <v>Major Program 4F04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#9455.00'!B6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196</v>
      </c>
      <c r="B9" s="60">
        <v>45574</v>
      </c>
      <c r="C9" s="61" t="s">
        <v>167</v>
      </c>
      <c r="D9" s="247">
        <v>45969.22</v>
      </c>
      <c r="E9" s="63">
        <f>D9</f>
        <v>45969.22</v>
      </c>
      <c r="F9" s="64"/>
      <c r="G9" s="64"/>
      <c r="H9" s="64">
        <f>E9</f>
        <v>45969.22</v>
      </c>
    </row>
    <row r="10" spans="1:9" x14ac:dyDescent="0.2">
      <c r="A10" s="59" t="s">
        <v>258</v>
      </c>
      <c r="B10" s="66">
        <v>45603</v>
      </c>
      <c r="C10" s="61" t="s">
        <v>259</v>
      </c>
      <c r="D10" s="63"/>
      <c r="E10" s="63">
        <f t="shared" ref="E10:E21" si="0">E9+D10</f>
        <v>45969.22</v>
      </c>
      <c r="F10" s="258">
        <v>2068.79</v>
      </c>
      <c r="G10" s="64">
        <f t="shared" ref="G10:G21" si="1">G9+F10</f>
        <v>2068.79</v>
      </c>
      <c r="H10" s="64">
        <f t="shared" ref="H10:H21" si="2">H9-F10+D10</f>
        <v>43900.43</v>
      </c>
    </row>
    <row r="11" spans="1:9" x14ac:dyDescent="0.2">
      <c r="A11" s="59" t="s">
        <v>337</v>
      </c>
      <c r="B11" s="60">
        <v>45632</v>
      </c>
      <c r="C11" s="61" t="s">
        <v>338</v>
      </c>
      <c r="D11" s="63"/>
      <c r="E11" s="63">
        <f t="shared" si="0"/>
        <v>45969.22</v>
      </c>
      <c r="F11" s="258">
        <v>7340.12</v>
      </c>
      <c r="G11" s="64">
        <f t="shared" si="1"/>
        <v>9408.91</v>
      </c>
      <c r="H11" s="64">
        <f t="shared" si="2"/>
        <v>36560.31</v>
      </c>
    </row>
    <row r="12" spans="1:9" x14ac:dyDescent="0.2">
      <c r="A12" s="59"/>
      <c r="B12" s="60"/>
      <c r="C12" s="61"/>
      <c r="D12" s="63"/>
      <c r="E12" s="63">
        <f t="shared" si="0"/>
        <v>45969.22</v>
      </c>
      <c r="F12" s="67"/>
      <c r="G12" s="64">
        <f t="shared" si="1"/>
        <v>9408.91</v>
      </c>
      <c r="H12" s="64">
        <f t="shared" si="2"/>
        <v>36560.31</v>
      </c>
    </row>
    <row r="13" spans="1:9" x14ac:dyDescent="0.2">
      <c r="A13" s="59"/>
      <c r="B13" s="60"/>
      <c r="C13" s="61"/>
      <c r="D13" s="63"/>
      <c r="E13" s="63">
        <f t="shared" si="0"/>
        <v>45969.22</v>
      </c>
      <c r="F13" s="67"/>
      <c r="G13" s="64">
        <f t="shared" si="1"/>
        <v>9408.91</v>
      </c>
      <c r="H13" s="64">
        <f t="shared" si="2"/>
        <v>36560.31</v>
      </c>
    </row>
    <row r="14" spans="1:9" x14ac:dyDescent="0.2">
      <c r="A14" s="59"/>
      <c r="B14" s="60"/>
      <c r="C14" s="61"/>
      <c r="D14" s="63"/>
      <c r="E14" s="63">
        <f t="shared" si="0"/>
        <v>45969.22</v>
      </c>
      <c r="F14" s="64"/>
      <c r="G14" s="64">
        <f t="shared" si="1"/>
        <v>9408.91</v>
      </c>
      <c r="H14" s="64">
        <f t="shared" si="2"/>
        <v>36560.31</v>
      </c>
    </row>
    <row r="15" spans="1:9" x14ac:dyDescent="0.2">
      <c r="A15" s="59"/>
      <c r="B15" s="60"/>
      <c r="C15" s="61"/>
      <c r="D15" s="63"/>
      <c r="E15" s="63">
        <f t="shared" si="0"/>
        <v>45969.22</v>
      </c>
      <c r="F15" s="67"/>
      <c r="G15" s="64">
        <f t="shared" si="1"/>
        <v>9408.91</v>
      </c>
      <c r="H15" s="64">
        <f t="shared" si="2"/>
        <v>36560.31</v>
      </c>
    </row>
    <row r="16" spans="1:9" x14ac:dyDescent="0.2">
      <c r="A16" s="59"/>
      <c r="B16" s="60"/>
      <c r="C16" s="61"/>
      <c r="D16" s="63"/>
      <c r="E16" s="63">
        <f t="shared" si="0"/>
        <v>45969.22</v>
      </c>
      <c r="F16" s="67"/>
      <c r="G16" s="64">
        <f t="shared" si="1"/>
        <v>9408.91</v>
      </c>
      <c r="H16" s="64">
        <f t="shared" si="2"/>
        <v>36560.31</v>
      </c>
    </row>
    <row r="17" spans="1:8" x14ac:dyDescent="0.2">
      <c r="A17" s="59"/>
      <c r="B17" s="60"/>
      <c r="C17" s="61"/>
      <c r="D17" s="63"/>
      <c r="E17" s="63">
        <f t="shared" si="0"/>
        <v>45969.22</v>
      </c>
      <c r="F17" s="67"/>
      <c r="G17" s="64">
        <f t="shared" si="1"/>
        <v>9408.91</v>
      </c>
      <c r="H17" s="64">
        <f t="shared" si="2"/>
        <v>36560.31</v>
      </c>
    </row>
    <row r="18" spans="1:8" x14ac:dyDescent="0.2">
      <c r="A18" s="59"/>
      <c r="B18" s="60"/>
      <c r="C18" s="61"/>
      <c r="D18" s="63"/>
      <c r="E18" s="63">
        <f t="shared" si="0"/>
        <v>45969.22</v>
      </c>
      <c r="F18" s="67"/>
      <c r="G18" s="64">
        <f t="shared" si="1"/>
        <v>9408.91</v>
      </c>
      <c r="H18" s="64">
        <f t="shared" si="2"/>
        <v>36560.31</v>
      </c>
    </row>
    <row r="19" spans="1:8" x14ac:dyDescent="0.2">
      <c r="A19" s="59"/>
      <c r="B19" s="60"/>
      <c r="C19" s="61"/>
      <c r="D19" s="63"/>
      <c r="E19" s="63">
        <f t="shared" si="0"/>
        <v>45969.22</v>
      </c>
      <c r="F19" s="64"/>
      <c r="G19" s="64">
        <f t="shared" si="1"/>
        <v>9408.91</v>
      </c>
      <c r="H19" s="64">
        <f t="shared" si="2"/>
        <v>36560.31</v>
      </c>
    </row>
    <row r="20" spans="1:8" x14ac:dyDescent="0.2">
      <c r="A20" s="59"/>
      <c r="B20" s="60"/>
      <c r="C20" s="61"/>
      <c r="D20" s="63"/>
      <c r="E20" s="63">
        <f t="shared" si="0"/>
        <v>45969.22</v>
      </c>
      <c r="F20" s="64"/>
      <c r="G20" s="64">
        <f t="shared" si="1"/>
        <v>9408.91</v>
      </c>
      <c r="H20" s="64">
        <f t="shared" si="2"/>
        <v>36560.31</v>
      </c>
    </row>
    <row r="21" spans="1:8" x14ac:dyDescent="0.2">
      <c r="A21" s="59"/>
      <c r="B21" s="60"/>
      <c r="C21" s="68"/>
      <c r="D21" s="63"/>
      <c r="E21" s="63">
        <f t="shared" si="0"/>
        <v>45969.22</v>
      </c>
      <c r="F21" s="64"/>
      <c r="G21" s="64">
        <f t="shared" si="1"/>
        <v>9408.91</v>
      </c>
      <c r="H21" s="64">
        <f t="shared" si="2"/>
        <v>36560.31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45969.22</v>
      </c>
      <c r="E23" s="72"/>
      <c r="F23" s="72">
        <f>SUM(F9:F22)</f>
        <v>9408.91</v>
      </c>
      <c r="G23" s="72"/>
      <c r="H23" s="72">
        <f>D23-F23</f>
        <v>36560.31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41969.22</v>
      </c>
      <c r="E26" s="252"/>
      <c r="F26" s="252">
        <f>1946.79+4544.02</f>
        <v>6490.81</v>
      </c>
      <c r="G26" s="252"/>
      <c r="H26" s="252">
        <f>D26-F26</f>
        <v>35478.410000000003</v>
      </c>
    </row>
    <row r="27" spans="1:8" x14ac:dyDescent="0.2">
      <c r="A27" s="73"/>
      <c r="B27" s="61"/>
      <c r="C27" s="251" t="s">
        <v>173</v>
      </c>
      <c r="D27" s="252">
        <v>4000</v>
      </c>
      <c r="E27" s="252"/>
      <c r="F27" s="252">
        <f>122+2796.1</f>
        <v>2918.1</v>
      </c>
      <c r="G27" s="252"/>
      <c r="H27" s="252">
        <f>D27-F27</f>
        <v>1081.9000000000001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45969.22</v>
      </c>
      <c r="E28" s="255"/>
      <c r="F28" s="254">
        <f>SUM(F26:F27)</f>
        <v>9408.91</v>
      </c>
      <c r="G28" s="255"/>
      <c r="H28" s="254">
        <f>SUM(H26:H27)</f>
        <v>36560.310000000005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2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627"/>
  <sheetViews>
    <sheetView zoomScaleNormal="100" workbookViewId="0">
      <selection activeCell="J31" sqref="J3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85546875" style="65" customWidth="1"/>
    <col min="10" max="16384" width="11.42578125" style="65"/>
  </cols>
  <sheetData>
    <row r="1" spans="1:10" s="35" customFormat="1" ht="24.75" customHeight="1" x14ac:dyDescent="0.25">
      <c r="A1" s="2" t="str">
        <f>'RECAP #9455.00'!B1</f>
        <v>IDOE ISD Giangreco Hall Water Infiltration Mitigation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#9455.00'!B2</f>
        <v>Project # 9455.00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#9455.00'!B3</f>
        <v>Program code 945500</v>
      </c>
      <c r="B3" s="5"/>
      <c r="C3" s="5"/>
      <c r="D3" s="4"/>
      <c r="E3" s="8" t="str">
        <f>'RECAP #9455.00'!E3</f>
        <v>Major Program 4F04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159</v>
      </c>
      <c r="F6" s="50"/>
      <c r="G6" s="51"/>
      <c r="H6" s="47"/>
      <c r="I6" s="42"/>
    </row>
    <row r="7" spans="1:10" s="35" customFormat="1" ht="15.75" x14ac:dyDescent="0.25">
      <c r="A7" s="13" t="str">
        <f>'RECAP #9455.00'!B6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50000</v>
      </c>
      <c r="F9" s="63">
        <f>E9</f>
        <v>50000</v>
      </c>
      <c r="G9" s="64"/>
      <c r="H9" s="64"/>
      <c r="I9" s="64">
        <f>F9</f>
        <v>50000</v>
      </c>
    </row>
    <row r="10" spans="1:10" x14ac:dyDescent="0.2">
      <c r="A10" s="257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50000</v>
      </c>
      <c r="G10" s="258">
        <f>89.32+181.61</f>
        <v>270.93</v>
      </c>
      <c r="H10" s="64">
        <f t="shared" ref="H10:H21" si="1">H9+G10</f>
        <v>270.93</v>
      </c>
      <c r="I10" s="64">
        <f t="shared" ref="I10:I21" si="2">I9-G10+E10</f>
        <v>49729.07</v>
      </c>
    </row>
    <row r="11" spans="1:10" x14ac:dyDescent="0.2">
      <c r="A11" s="257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50000</v>
      </c>
      <c r="G11" s="258">
        <f>134+1668.7</f>
        <v>1802.7</v>
      </c>
      <c r="H11" s="64">
        <f t="shared" si="1"/>
        <v>2073.63</v>
      </c>
      <c r="I11" s="64">
        <f t="shared" si="2"/>
        <v>47926.37</v>
      </c>
    </row>
    <row r="12" spans="1:10" x14ac:dyDescent="0.2">
      <c r="A12" s="257" t="s">
        <v>345</v>
      </c>
      <c r="B12" s="275">
        <v>45635</v>
      </c>
      <c r="C12" s="276">
        <v>2507</v>
      </c>
      <c r="D12" s="277" t="s">
        <v>346</v>
      </c>
      <c r="E12" s="63"/>
      <c r="F12" s="63">
        <f t="shared" si="0"/>
        <v>50000</v>
      </c>
      <c r="G12" s="258">
        <f>57.15+103.78</f>
        <v>160.93</v>
      </c>
      <c r="H12" s="64">
        <f t="shared" si="1"/>
        <v>2234.56</v>
      </c>
      <c r="I12" s="64">
        <f t="shared" si="2"/>
        <v>47765.440000000002</v>
      </c>
    </row>
    <row r="13" spans="1:10" x14ac:dyDescent="0.2">
      <c r="A13" s="257" t="s">
        <v>345</v>
      </c>
      <c r="B13" s="275">
        <v>45635</v>
      </c>
      <c r="C13" s="276">
        <v>9500</v>
      </c>
      <c r="D13" s="278" t="s">
        <v>347</v>
      </c>
      <c r="E13" s="63"/>
      <c r="F13" s="63">
        <f t="shared" si="0"/>
        <v>50000</v>
      </c>
      <c r="G13" s="258">
        <f>71.5+996.6</f>
        <v>1068.0999999999999</v>
      </c>
      <c r="H13" s="64">
        <f t="shared" si="1"/>
        <v>3302.66</v>
      </c>
      <c r="I13" s="64">
        <f t="shared" si="2"/>
        <v>46697.340000000004</v>
      </c>
    </row>
    <row r="14" spans="1:10" x14ac:dyDescent="0.2">
      <c r="A14" s="85"/>
      <c r="B14" s="60"/>
      <c r="C14" s="60"/>
      <c r="D14" s="83"/>
      <c r="E14" s="63"/>
      <c r="F14" s="63">
        <f t="shared" si="0"/>
        <v>50000</v>
      </c>
      <c r="G14" s="64"/>
      <c r="H14" s="64">
        <f t="shared" si="1"/>
        <v>3302.66</v>
      </c>
      <c r="I14" s="64">
        <f t="shared" si="2"/>
        <v>46697.340000000004</v>
      </c>
    </row>
    <row r="15" spans="1:10" x14ac:dyDescent="0.2">
      <c r="A15" s="85"/>
      <c r="B15" s="60"/>
      <c r="C15" s="60"/>
      <c r="D15" s="83"/>
      <c r="E15" s="63"/>
      <c r="F15" s="63">
        <f t="shared" si="0"/>
        <v>50000</v>
      </c>
      <c r="G15" s="67"/>
      <c r="H15" s="64">
        <f t="shared" si="1"/>
        <v>3302.66</v>
      </c>
      <c r="I15" s="64">
        <f t="shared" si="2"/>
        <v>46697.340000000004</v>
      </c>
    </row>
    <row r="16" spans="1:10" x14ac:dyDescent="0.2">
      <c r="A16" s="85"/>
      <c r="B16" s="60"/>
      <c r="C16" s="60"/>
      <c r="D16" s="83"/>
      <c r="E16" s="63"/>
      <c r="F16" s="63">
        <f t="shared" si="0"/>
        <v>50000</v>
      </c>
      <c r="G16" s="67"/>
      <c r="H16" s="64">
        <f t="shared" si="1"/>
        <v>3302.66</v>
      </c>
      <c r="I16" s="64">
        <f t="shared" si="2"/>
        <v>46697.340000000004</v>
      </c>
    </row>
    <row r="17" spans="1:9" x14ac:dyDescent="0.2">
      <c r="A17" s="85"/>
      <c r="B17" s="60"/>
      <c r="C17" s="60"/>
      <c r="D17" s="83"/>
      <c r="E17" s="63"/>
      <c r="F17" s="63">
        <f t="shared" si="0"/>
        <v>50000</v>
      </c>
      <c r="G17" s="67"/>
      <c r="H17" s="64">
        <f t="shared" si="1"/>
        <v>3302.66</v>
      </c>
      <c r="I17" s="64">
        <f t="shared" si="2"/>
        <v>46697.340000000004</v>
      </c>
    </row>
    <row r="18" spans="1:9" x14ac:dyDescent="0.2">
      <c r="A18" s="85"/>
      <c r="B18" s="60"/>
      <c r="C18" s="60"/>
      <c r="D18" s="83"/>
      <c r="E18" s="63"/>
      <c r="F18" s="63">
        <f t="shared" si="0"/>
        <v>50000</v>
      </c>
      <c r="G18" s="67"/>
      <c r="H18" s="64">
        <f t="shared" si="1"/>
        <v>3302.66</v>
      </c>
      <c r="I18" s="64">
        <f t="shared" si="2"/>
        <v>46697.340000000004</v>
      </c>
    </row>
    <row r="19" spans="1:9" x14ac:dyDescent="0.2">
      <c r="A19" s="82"/>
      <c r="B19" s="60"/>
      <c r="C19" s="60"/>
      <c r="D19" s="83"/>
      <c r="E19" s="63"/>
      <c r="F19" s="63">
        <f t="shared" si="0"/>
        <v>50000</v>
      </c>
      <c r="G19" s="64"/>
      <c r="H19" s="64">
        <f t="shared" si="1"/>
        <v>3302.66</v>
      </c>
      <c r="I19" s="64">
        <f t="shared" si="2"/>
        <v>46697.340000000004</v>
      </c>
    </row>
    <row r="20" spans="1:9" x14ac:dyDescent="0.2">
      <c r="A20" s="82"/>
      <c r="B20" s="60"/>
      <c r="C20" s="60"/>
      <c r="D20" s="83"/>
      <c r="E20" s="63"/>
      <c r="F20" s="63">
        <f t="shared" si="0"/>
        <v>50000</v>
      </c>
      <c r="G20" s="64"/>
      <c r="H20" s="64">
        <f t="shared" si="1"/>
        <v>3302.66</v>
      </c>
      <c r="I20" s="64">
        <f t="shared" si="2"/>
        <v>46697.340000000004</v>
      </c>
    </row>
    <row r="21" spans="1:9" x14ac:dyDescent="0.2">
      <c r="A21" s="82"/>
      <c r="B21" s="60"/>
      <c r="C21" s="60"/>
      <c r="D21" s="86"/>
      <c r="E21" s="63"/>
      <c r="F21" s="63">
        <f t="shared" si="0"/>
        <v>50000</v>
      </c>
      <c r="G21" s="64"/>
      <c r="H21" s="64">
        <f t="shared" si="1"/>
        <v>3302.66</v>
      </c>
      <c r="I21" s="64">
        <f t="shared" si="2"/>
        <v>46697.340000000004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50000</v>
      </c>
      <c r="F23" s="72"/>
      <c r="G23" s="72">
        <f>SUM(G9:G22)</f>
        <v>3302.66</v>
      </c>
      <c r="H23" s="72"/>
      <c r="I23" s="72">
        <f>E23-G23</f>
        <v>46697.34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#9455.00'!B1</f>
        <v>IDOE ISD Giangreco Hall Water Infiltration Mitigation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#9455.00'!B2</f>
        <v>Project # 9455.00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#9455.00'!B3</f>
        <v>Program code 945500</v>
      </c>
      <c r="E3" s="8" t="str">
        <f>'RECAP #9455.00'!E3</f>
        <v>Major Program 4F04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#9455.00'!B6</f>
        <v>Project Manager - Jennie E</v>
      </c>
      <c r="B7" s="52"/>
      <c r="C7" s="52"/>
      <c r="D7" s="52"/>
      <c r="E7" s="265" t="s">
        <v>197</v>
      </c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627"/>
  <sheetViews>
    <sheetView zoomScaleNormal="100" workbookViewId="0">
      <selection activeCell="C15" sqref="C1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#9455.00'!B1</f>
        <v>IDOE ISD Giangreco Hall Water Infiltration Mitigation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#9455.00'!B2</f>
        <v>Project # 9455.00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#9455.00'!B3</f>
        <v>Program code 945500</v>
      </c>
      <c r="B3" s="5"/>
      <c r="C3" s="4"/>
      <c r="D3" s="8" t="str">
        <f>'RECAP #9455.00'!E3</f>
        <v>Major Program 4F04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305</v>
      </c>
      <c r="E5" s="45"/>
      <c r="F5" s="46"/>
      <c r="G5" s="47"/>
      <c r="H5" s="42"/>
    </row>
    <row r="6" spans="1:9" s="35" customFormat="1" ht="15.75" x14ac:dyDescent="0.25">
      <c r="A6" s="13" t="str">
        <f>'RECAP #9455.00'!B6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306</v>
      </c>
      <c r="B9" s="60">
        <v>45611</v>
      </c>
      <c r="C9" s="61" t="s">
        <v>167</v>
      </c>
      <c r="D9" s="247">
        <v>44140</v>
      </c>
      <c r="E9" s="63">
        <f>D9</f>
        <v>44140</v>
      </c>
      <c r="F9" s="64"/>
      <c r="G9" s="64"/>
      <c r="H9" s="64">
        <f>E9</f>
        <v>44140</v>
      </c>
    </row>
    <row r="10" spans="1:9" x14ac:dyDescent="0.2">
      <c r="A10" s="59"/>
      <c r="B10" s="66"/>
      <c r="C10" s="61"/>
      <c r="D10" s="63"/>
      <c r="E10" s="63">
        <f t="shared" ref="E10:E21" si="0">E9+D10</f>
        <v>44140</v>
      </c>
      <c r="F10" s="67"/>
      <c r="G10" s="64">
        <f t="shared" ref="G10:G21" si="1">G9+F10</f>
        <v>0</v>
      </c>
      <c r="H10" s="64">
        <f t="shared" ref="H10:H21" si="2">H9-F10+D10</f>
        <v>44140</v>
      </c>
    </row>
    <row r="11" spans="1:9" x14ac:dyDescent="0.2">
      <c r="A11" s="59"/>
      <c r="B11" s="60"/>
      <c r="C11" s="61"/>
      <c r="D11" s="63"/>
      <c r="E11" s="63">
        <f t="shared" si="0"/>
        <v>44140</v>
      </c>
      <c r="F11" s="67"/>
      <c r="G11" s="64">
        <f t="shared" si="1"/>
        <v>0</v>
      </c>
      <c r="H11" s="64">
        <f t="shared" si="2"/>
        <v>44140</v>
      </c>
    </row>
    <row r="12" spans="1:9" x14ac:dyDescent="0.2">
      <c r="A12" s="59"/>
      <c r="B12" s="60"/>
      <c r="C12" s="61"/>
      <c r="D12" s="63"/>
      <c r="E12" s="63">
        <f t="shared" si="0"/>
        <v>44140</v>
      </c>
      <c r="F12" s="67"/>
      <c r="G12" s="64">
        <f t="shared" si="1"/>
        <v>0</v>
      </c>
      <c r="H12" s="64">
        <f t="shared" si="2"/>
        <v>44140</v>
      </c>
    </row>
    <row r="13" spans="1:9" x14ac:dyDescent="0.2">
      <c r="A13" s="59"/>
      <c r="B13" s="60"/>
      <c r="C13" s="61"/>
      <c r="D13" s="63"/>
      <c r="E13" s="63">
        <f t="shared" si="0"/>
        <v>44140</v>
      </c>
      <c r="F13" s="67"/>
      <c r="G13" s="64">
        <f t="shared" si="1"/>
        <v>0</v>
      </c>
      <c r="H13" s="64">
        <f t="shared" si="2"/>
        <v>44140</v>
      </c>
    </row>
    <row r="14" spans="1:9" x14ac:dyDescent="0.2">
      <c r="A14" s="59"/>
      <c r="B14" s="60"/>
      <c r="C14" s="61"/>
      <c r="D14" s="63"/>
      <c r="E14" s="63">
        <f t="shared" si="0"/>
        <v>44140</v>
      </c>
      <c r="F14" s="64"/>
      <c r="G14" s="64">
        <f t="shared" si="1"/>
        <v>0</v>
      </c>
      <c r="H14" s="64">
        <f t="shared" si="2"/>
        <v>44140</v>
      </c>
    </row>
    <row r="15" spans="1:9" x14ac:dyDescent="0.2">
      <c r="A15" s="59"/>
      <c r="B15" s="60"/>
      <c r="C15" s="61"/>
      <c r="D15" s="63"/>
      <c r="E15" s="63">
        <f t="shared" si="0"/>
        <v>44140</v>
      </c>
      <c r="F15" s="67"/>
      <c r="G15" s="64">
        <f t="shared" si="1"/>
        <v>0</v>
      </c>
      <c r="H15" s="64">
        <f t="shared" si="2"/>
        <v>44140</v>
      </c>
    </row>
    <row r="16" spans="1:9" x14ac:dyDescent="0.2">
      <c r="A16" s="59"/>
      <c r="B16" s="60"/>
      <c r="C16" s="61"/>
      <c r="D16" s="63"/>
      <c r="E16" s="63">
        <f t="shared" si="0"/>
        <v>44140</v>
      </c>
      <c r="F16" s="67"/>
      <c r="G16" s="64">
        <f t="shared" si="1"/>
        <v>0</v>
      </c>
      <c r="H16" s="64">
        <f t="shared" si="2"/>
        <v>44140</v>
      </c>
    </row>
    <row r="17" spans="1:8" x14ac:dyDescent="0.2">
      <c r="A17" s="59"/>
      <c r="B17" s="60"/>
      <c r="C17" s="61"/>
      <c r="D17" s="63"/>
      <c r="E17" s="63">
        <f t="shared" si="0"/>
        <v>44140</v>
      </c>
      <c r="F17" s="67"/>
      <c r="G17" s="64">
        <f t="shared" si="1"/>
        <v>0</v>
      </c>
      <c r="H17" s="64">
        <f t="shared" si="2"/>
        <v>44140</v>
      </c>
    </row>
    <row r="18" spans="1:8" x14ac:dyDescent="0.2">
      <c r="A18" s="59"/>
      <c r="B18" s="60"/>
      <c r="C18" s="61"/>
      <c r="D18" s="63"/>
      <c r="E18" s="63">
        <f t="shared" si="0"/>
        <v>44140</v>
      </c>
      <c r="F18" s="67"/>
      <c r="G18" s="64">
        <f t="shared" si="1"/>
        <v>0</v>
      </c>
      <c r="H18" s="64">
        <f t="shared" si="2"/>
        <v>44140</v>
      </c>
    </row>
    <row r="19" spans="1:8" x14ac:dyDescent="0.2">
      <c r="A19" s="59"/>
      <c r="B19" s="60"/>
      <c r="C19" s="61"/>
      <c r="D19" s="63"/>
      <c r="E19" s="63">
        <f t="shared" si="0"/>
        <v>44140</v>
      </c>
      <c r="F19" s="64"/>
      <c r="G19" s="64">
        <f t="shared" si="1"/>
        <v>0</v>
      </c>
      <c r="H19" s="64">
        <f t="shared" si="2"/>
        <v>44140</v>
      </c>
    </row>
    <row r="20" spans="1:8" x14ac:dyDescent="0.2">
      <c r="A20" s="59"/>
      <c r="B20" s="60"/>
      <c r="C20" s="61"/>
      <c r="D20" s="63"/>
      <c r="E20" s="63">
        <f t="shared" si="0"/>
        <v>44140</v>
      </c>
      <c r="F20" s="64"/>
      <c r="G20" s="64">
        <f t="shared" si="1"/>
        <v>0</v>
      </c>
      <c r="H20" s="64">
        <f t="shared" si="2"/>
        <v>44140</v>
      </c>
    </row>
    <row r="21" spans="1:8" x14ac:dyDescent="0.2">
      <c r="A21" s="59"/>
      <c r="B21" s="60"/>
      <c r="C21" s="68"/>
      <c r="D21" s="63"/>
      <c r="E21" s="63">
        <f t="shared" si="0"/>
        <v>44140</v>
      </c>
      <c r="F21" s="64"/>
      <c r="G21" s="64">
        <f t="shared" si="1"/>
        <v>0</v>
      </c>
      <c r="H21" s="64">
        <f t="shared" si="2"/>
        <v>44140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44140</v>
      </c>
      <c r="E23" s="72"/>
      <c r="F23" s="72">
        <f>SUM(F9:F22)</f>
        <v>0</v>
      </c>
      <c r="G23" s="72"/>
      <c r="H23" s="72">
        <f>D23-F23</f>
        <v>44140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9"/>
      <c r="D26" s="270"/>
      <c r="E26" s="270"/>
      <c r="F26" s="270"/>
      <c r="G26" s="270"/>
      <c r="H26" s="270"/>
    </row>
    <row r="27" spans="1:8" x14ac:dyDescent="0.2">
      <c r="A27" s="73"/>
      <c r="B27" s="61"/>
      <c r="C27" s="269"/>
      <c r="D27" s="270"/>
      <c r="E27" s="270"/>
      <c r="F27" s="270"/>
      <c r="G27" s="270"/>
      <c r="H27" s="270"/>
    </row>
    <row r="28" spans="1:8" x14ac:dyDescent="0.2">
      <c r="A28" s="73"/>
      <c r="B28" s="61"/>
      <c r="C28" s="271"/>
      <c r="D28" s="272"/>
      <c r="E28" s="272"/>
      <c r="F28" s="272"/>
      <c r="G28" s="272"/>
      <c r="H28" s="272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1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H24"/>
  <sheetViews>
    <sheetView zoomScaleNormal="100" workbookViewId="0">
      <selection activeCell="B10" sqref="B1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118</v>
      </c>
      <c r="C1" s="3"/>
    </row>
    <row r="2" spans="1:8" ht="15.75" x14ac:dyDescent="0.25">
      <c r="B2" s="6" t="s">
        <v>142</v>
      </c>
    </row>
    <row r="3" spans="1:8" ht="15.75" x14ac:dyDescent="0.25">
      <c r="B3" s="7" t="s">
        <v>143</v>
      </c>
      <c r="E3" s="8" t="s">
        <v>144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FINANCIAL!G31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'#9456.00 Samuels Group'!D23</f>
        <v>24471.919999999998</v>
      </c>
      <c r="E10" s="24">
        <f>'#9456.00 Samuels Group'!F23</f>
        <v>1048.51</v>
      </c>
      <c r="F10" s="24">
        <f>'#9456.00 Samuels Group'!H23</f>
        <v>23423.41</v>
      </c>
      <c r="G10" s="25"/>
      <c r="H10" s="17"/>
    </row>
    <row r="11" spans="1:8" x14ac:dyDescent="0.2">
      <c r="B11" s="5" t="s">
        <v>14</v>
      </c>
      <c r="C11" s="26"/>
      <c r="D11" s="24">
        <f>'#9456.00 PM TIME '!E23</f>
        <v>13000</v>
      </c>
      <c r="E11" s="24">
        <f>'#9456.00 PM TIME '!G23</f>
        <v>344.09</v>
      </c>
      <c r="F11" s="24">
        <f>'#9456.00 PM TIME '!I23</f>
        <v>12655.91</v>
      </c>
      <c r="G11" s="25"/>
      <c r="H11" s="17"/>
    </row>
    <row r="12" spans="1:8" x14ac:dyDescent="0.2">
      <c r="B12" s="5" t="s">
        <v>15</v>
      </c>
      <c r="C12" s="27"/>
      <c r="D12" s="28">
        <f>'#9456.00 Misc'!G22</f>
        <v>0</v>
      </c>
      <c r="E12" s="28">
        <f>'#9456.00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300000</v>
      </c>
      <c r="D14" s="32">
        <f>SUM(D8:D13)</f>
        <v>37471.919999999998</v>
      </c>
      <c r="E14" s="32">
        <f>SUM(E8:E13)</f>
        <v>1392.6</v>
      </c>
      <c r="F14" s="32">
        <f>SUM(D14-E14)</f>
        <v>36079.32</v>
      </c>
      <c r="G14" s="32">
        <f>C14-D14</f>
        <v>262528.08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#9456.00'!B1</f>
        <v>IDOE ISD Elementary School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#9456.00'!B2</f>
        <v>Project # 9456.00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#9456.00'!B3</f>
        <v>Program code 945600</v>
      </c>
      <c r="B3" s="5"/>
      <c r="C3" s="4"/>
      <c r="D3" s="8" t="str">
        <f>'RECAP #9456.00'!E3</f>
        <v>Major Program 4E02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#9456.00'!B6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220</v>
      </c>
      <c r="B9" s="60">
        <v>45589</v>
      </c>
      <c r="C9" s="61" t="s">
        <v>167</v>
      </c>
      <c r="D9" s="247">
        <v>24471.919999999998</v>
      </c>
      <c r="E9" s="63">
        <f>D9</f>
        <v>24471.919999999998</v>
      </c>
      <c r="F9" s="64"/>
      <c r="G9" s="64"/>
      <c r="H9" s="64">
        <f>E9</f>
        <v>24471.919999999998</v>
      </c>
    </row>
    <row r="10" spans="1:9" x14ac:dyDescent="0.2">
      <c r="A10" s="59" t="s">
        <v>256</v>
      </c>
      <c r="B10" s="66">
        <v>45602</v>
      </c>
      <c r="C10" s="61" t="s">
        <v>257</v>
      </c>
      <c r="D10" s="63"/>
      <c r="E10" s="63">
        <f t="shared" ref="E10:E21" si="0">E9+D10</f>
        <v>24471.919999999998</v>
      </c>
      <c r="F10" s="258">
        <v>1048.51</v>
      </c>
      <c r="G10" s="64">
        <f t="shared" ref="G10:G21" si="1">G9+F10</f>
        <v>1048.51</v>
      </c>
      <c r="H10" s="64">
        <f t="shared" ref="H10:H21" si="2">H9-F10+D10</f>
        <v>23423.41</v>
      </c>
    </row>
    <row r="11" spans="1:9" x14ac:dyDescent="0.2">
      <c r="A11" s="59"/>
      <c r="B11" s="60"/>
      <c r="C11" s="61"/>
      <c r="D11" s="63"/>
      <c r="E11" s="63">
        <f t="shared" si="0"/>
        <v>24471.919999999998</v>
      </c>
      <c r="F11" s="67"/>
      <c r="G11" s="64">
        <f t="shared" si="1"/>
        <v>1048.51</v>
      </c>
      <c r="H11" s="64">
        <f t="shared" si="2"/>
        <v>23423.41</v>
      </c>
    </row>
    <row r="12" spans="1:9" x14ac:dyDescent="0.2">
      <c r="A12" s="59"/>
      <c r="B12" s="60"/>
      <c r="C12" s="61"/>
      <c r="D12" s="63"/>
      <c r="E12" s="63">
        <f t="shared" si="0"/>
        <v>24471.919999999998</v>
      </c>
      <c r="F12" s="67"/>
      <c r="G12" s="64">
        <f t="shared" si="1"/>
        <v>1048.51</v>
      </c>
      <c r="H12" s="64">
        <f t="shared" si="2"/>
        <v>23423.41</v>
      </c>
    </row>
    <row r="13" spans="1:9" x14ac:dyDescent="0.2">
      <c r="A13" s="59"/>
      <c r="B13" s="60"/>
      <c r="C13" s="61"/>
      <c r="D13" s="63"/>
      <c r="E13" s="63">
        <f t="shared" si="0"/>
        <v>24471.919999999998</v>
      </c>
      <c r="F13" s="67"/>
      <c r="G13" s="64">
        <f t="shared" si="1"/>
        <v>1048.51</v>
      </c>
      <c r="H13" s="64">
        <f t="shared" si="2"/>
        <v>23423.41</v>
      </c>
    </row>
    <row r="14" spans="1:9" x14ac:dyDescent="0.2">
      <c r="A14" s="59"/>
      <c r="B14" s="60"/>
      <c r="C14" s="61"/>
      <c r="D14" s="63"/>
      <c r="E14" s="63">
        <f t="shared" si="0"/>
        <v>24471.919999999998</v>
      </c>
      <c r="F14" s="64"/>
      <c r="G14" s="64">
        <f t="shared" si="1"/>
        <v>1048.51</v>
      </c>
      <c r="H14" s="64">
        <f t="shared" si="2"/>
        <v>23423.41</v>
      </c>
    </row>
    <row r="15" spans="1:9" x14ac:dyDescent="0.2">
      <c r="A15" s="59"/>
      <c r="B15" s="60"/>
      <c r="C15" s="61"/>
      <c r="D15" s="63"/>
      <c r="E15" s="63">
        <f t="shared" si="0"/>
        <v>24471.919999999998</v>
      </c>
      <c r="F15" s="67"/>
      <c r="G15" s="64">
        <f t="shared" si="1"/>
        <v>1048.51</v>
      </c>
      <c r="H15" s="64">
        <f t="shared" si="2"/>
        <v>23423.41</v>
      </c>
    </row>
    <row r="16" spans="1:9" x14ac:dyDescent="0.2">
      <c r="A16" s="59"/>
      <c r="B16" s="60"/>
      <c r="C16" s="61"/>
      <c r="D16" s="63"/>
      <c r="E16" s="63">
        <f t="shared" si="0"/>
        <v>24471.919999999998</v>
      </c>
      <c r="F16" s="67"/>
      <c r="G16" s="64">
        <f t="shared" si="1"/>
        <v>1048.51</v>
      </c>
      <c r="H16" s="64">
        <f t="shared" si="2"/>
        <v>23423.41</v>
      </c>
    </row>
    <row r="17" spans="1:8" x14ac:dyDescent="0.2">
      <c r="A17" s="59"/>
      <c r="B17" s="60"/>
      <c r="C17" s="61"/>
      <c r="D17" s="63"/>
      <c r="E17" s="63">
        <f t="shared" si="0"/>
        <v>24471.919999999998</v>
      </c>
      <c r="F17" s="67"/>
      <c r="G17" s="64">
        <f t="shared" si="1"/>
        <v>1048.51</v>
      </c>
      <c r="H17" s="64">
        <f t="shared" si="2"/>
        <v>23423.41</v>
      </c>
    </row>
    <row r="18" spans="1:8" x14ac:dyDescent="0.2">
      <c r="A18" s="59"/>
      <c r="B18" s="60"/>
      <c r="C18" s="61"/>
      <c r="D18" s="63"/>
      <c r="E18" s="63">
        <f t="shared" si="0"/>
        <v>24471.919999999998</v>
      </c>
      <c r="F18" s="67"/>
      <c r="G18" s="64">
        <f t="shared" si="1"/>
        <v>1048.51</v>
      </c>
      <c r="H18" s="64">
        <f t="shared" si="2"/>
        <v>23423.41</v>
      </c>
    </row>
    <row r="19" spans="1:8" x14ac:dyDescent="0.2">
      <c r="A19" s="59"/>
      <c r="B19" s="60"/>
      <c r="C19" s="61"/>
      <c r="D19" s="63"/>
      <c r="E19" s="63">
        <f t="shared" si="0"/>
        <v>24471.919999999998</v>
      </c>
      <c r="F19" s="64"/>
      <c r="G19" s="64">
        <f t="shared" si="1"/>
        <v>1048.51</v>
      </c>
      <c r="H19" s="64">
        <f t="shared" si="2"/>
        <v>23423.41</v>
      </c>
    </row>
    <row r="20" spans="1:8" x14ac:dyDescent="0.2">
      <c r="A20" s="59"/>
      <c r="B20" s="60"/>
      <c r="C20" s="61"/>
      <c r="D20" s="63"/>
      <c r="E20" s="63">
        <f t="shared" si="0"/>
        <v>24471.919999999998</v>
      </c>
      <c r="F20" s="64"/>
      <c r="G20" s="64">
        <f t="shared" si="1"/>
        <v>1048.51</v>
      </c>
      <c r="H20" s="64">
        <f t="shared" si="2"/>
        <v>23423.41</v>
      </c>
    </row>
    <row r="21" spans="1:8" x14ac:dyDescent="0.2">
      <c r="A21" s="59"/>
      <c r="B21" s="60"/>
      <c r="C21" s="68"/>
      <c r="D21" s="63"/>
      <c r="E21" s="63">
        <f t="shared" si="0"/>
        <v>24471.919999999998</v>
      </c>
      <c r="F21" s="64"/>
      <c r="G21" s="64">
        <f t="shared" si="1"/>
        <v>1048.51</v>
      </c>
      <c r="H21" s="64">
        <f t="shared" si="2"/>
        <v>23423.41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24471.919999999998</v>
      </c>
      <c r="E23" s="72"/>
      <c r="F23" s="72">
        <f>SUM(F9:F22)</f>
        <v>1048.51</v>
      </c>
      <c r="G23" s="72"/>
      <c r="H23" s="72">
        <f>D23-F23</f>
        <v>23423.41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21631.919999999998</v>
      </c>
      <c r="E26" s="252"/>
      <c r="F26" s="252">
        <f>1048.51</f>
        <v>1048.51</v>
      </c>
      <c r="G26" s="252"/>
      <c r="H26" s="252">
        <f>D26-F26</f>
        <v>20583.41</v>
      </c>
    </row>
    <row r="27" spans="1:8" x14ac:dyDescent="0.2">
      <c r="A27" s="73"/>
      <c r="B27" s="61"/>
      <c r="C27" s="251" t="s">
        <v>173</v>
      </c>
      <c r="D27" s="252">
        <v>2840</v>
      </c>
      <c r="E27" s="252"/>
      <c r="F27" s="252"/>
      <c r="G27" s="252"/>
      <c r="H27" s="252">
        <f>D27-F27</f>
        <v>2840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24471.919999999998</v>
      </c>
      <c r="E28" s="255"/>
      <c r="F28" s="254">
        <f>SUM(F26:F27)</f>
        <v>1048.51</v>
      </c>
      <c r="G28" s="255"/>
      <c r="H28" s="254">
        <f>SUM(H26:H27)</f>
        <v>23423.41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0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627"/>
  <sheetViews>
    <sheetView zoomScaleNormal="100" workbookViewId="0">
      <selection activeCell="N17" sqref="N16:N1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140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85546875" style="65" customWidth="1"/>
    <col min="10" max="16384" width="11.42578125" style="65"/>
  </cols>
  <sheetData>
    <row r="1" spans="1:10" s="35" customFormat="1" ht="24.75" customHeight="1" x14ac:dyDescent="0.25">
      <c r="A1" s="2" t="str">
        <f>'RECAP #9456.00'!B1</f>
        <v>IDOE ISD Elementary School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#9456.00'!B2</f>
        <v>Project # 9456.00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#9456.00'!B3</f>
        <v>Program code 945600</v>
      </c>
      <c r="B3" s="5"/>
      <c r="C3" s="5"/>
      <c r="D3" s="4"/>
      <c r="E3" s="8" t="str">
        <f>'RECAP #9456.00'!E3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161</v>
      </c>
      <c r="F6" s="50"/>
      <c r="G6" s="51"/>
      <c r="H6" s="47"/>
      <c r="I6" s="42"/>
    </row>
    <row r="7" spans="1:10" s="35" customFormat="1" ht="15.75" x14ac:dyDescent="0.25">
      <c r="A7" s="13" t="str">
        <f>'RECAP #9456.00'!B6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f>13000</f>
        <v>13000</v>
      </c>
      <c r="F9" s="63">
        <f>E9</f>
        <v>13000</v>
      </c>
      <c r="G9" s="64"/>
      <c r="H9" s="64"/>
      <c r="I9" s="64">
        <f>F9</f>
        <v>13000</v>
      </c>
    </row>
    <row r="10" spans="1:10" x14ac:dyDescent="0.2">
      <c r="A10" s="257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13000</v>
      </c>
      <c r="G10" s="258">
        <f>9.31+19.63</f>
        <v>28.939999999999998</v>
      </c>
      <c r="H10" s="64">
        <f t="shared" ref="H10:H21" si="1">H9+G10</f>
        <v>28.939999999999998</v>
      </c>
      <c r="I10" s="64">
        <f t="shared" ref="I10:I21" si="2">I9-G10+E10</f>
        <v>12971.06</v>
      </c>
    </row>
    <row r="11" spans="1:10" x14ac:dyDescent="0.2">
      <c r="A11" s="257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13000</v>
      </c>
      <c r="G11" s="258">
        <f>14.5+177.1</f>
        <v>191.6</v>
      </c>
      <c r="H11" s="64">
        <f t="shared" si="1"/>
        <v>220.54</v>
      </c>
      <c r="I11" s="64">
        <f t="shared" si="2"/>
        <v>12779.46</v>
      </c>
    </row>
    <row r="12" spans="1:10" x14ac:dyDescent="0.2">
      <c r="A12" s="257" t="s">
        <v>345</v>
      </c>
      <c r="B12" s="275">
        <v>45635</v>
      </c>
      <c r="C12" s="276">
        <v>2507</v>
      </c>
      <c r="D12" s="277" t="s">
        <v>346</v>
      </c>
      <c r="E12" s="63"/>
      <c r="F12" s="63">
        <f t="shared" si="0"/>
        <v>13000</v>
      </c>
      <c r="G12" s="258">
        <f>5.93+10.52</f>
        <v>16.45</v>
      </c>
      <c r="H12" s="64">
        <f t="shared" si="1"/>
        <v>236.98999999999998</v>
      </c>
      <c r="I12" s="64">
        <f t="shared" si="2"/>
        <v>12763.009999999998</v>
      </c>
    </row>
    <row r="13" spans="1:10" x14ac:dyDescent="0.2">
      <c r="A13" s="257" t="s">
        <v>345</v>
      </c>
      <c r="B13" s="275">
        <v>45635</v>
      </c>
      <c r="C13" s="276">
        <v>9500</v>
      </c>
      <c r="D13" s="278" t="s">
        <v>347</v>
      </c>
      <c r="E13" s="63"/>
      <c r="F13" s="63">
        <f t="shared" si="0"/>
        <v>13000</v>
      </c>
      <c r="G13" s="258">
        <f>7+100.1</f>
        <v>107.1</v>
      </c>
      <c r="H13" s="64">
        <f t="shared" si="1"/>
        <v>344.09</v>
      </c>
      <c r="I13" s="64">
        <f t="shared" si="2"/>
        <v>12655.909999999998</v>
      </c>
    </row>
    <row r="14" spans="1:10" x14ac:dyDescent="0.2">
      <c r="A14" s="85"/>
      <c r="B14" s="60"/>
      <c r="C14" s="60"/>
      <c r="D14" s="83"/>
      <c r="E14" s="63"/>
      <c r="F14" s="63">
        <f t="shared" si="0"/>
        <v>13000</v>
      </c>
      <c r="G14" s="64"/>
      <c r="H14" s="64">
        <f t="shared" si="1"/>
        <v>344.09</v>
      </c>
      <c r="I14" s="64">
        <f t="shared" si="2"/>
        <v>12655.909999999998</v>
      </c>
    </row>
    <row r="15" spans="1:10" x14ac:dyDescent="0.2">
      <c r="A15" s="85"/>
      <c r="B15" s="60"/>
      <c r="C15" s="60"/>
      <c r="D15" s="83"/>
      <c r="E15" s="63"/>
      <c r="F15" s="63">
        <f t="shared" si="0"/>
        <v>13000</v>
      </c>
      <c r="G15" s="67"/>
      <c r="H15" s="64">
        <f t="shared" si="1"/>
        <v>344.09</v>
      </c>
      <c r="I15" s="64">
        <f t="shared" si="2"/>
        <v>12655.909999999998</v>
      </c>
    </row>
    <row r="16" spans="1:10" x14ac:dyDescent="0.2">
      <c r="A16" s="85"/>
      <c r="B16" s="60"/>
      <c r="C16" s="60"/>
      <c r="D16" s="83"/>
      <c r="E16" s="63"/>
      <c r="F16" s="63">
        <f t="shared" si="0"/>
        <v>13000</v>
      </c>
      <c r="G16" s="67"/>
      <c r="H16" s="64">
        <f t="shared" si="1"/>
        <v>344.09</v>
      </c>
      <c r="I16" s="64">
        <f t="shared" si="2"/>
        <v>12655.909999999998</v>
      </c>
    </row>
    <row r="17" spans="1:9" x14ac:dyDescent="0.2">
      <c r="A17" s="85"/>
      <c r="B17" s="60"/>
      <c r="C17" s="60"/>
      <c r="D17" s="83"/>
      <c r="E17" s="63"/>
      <c r="F17" s="63">
        <f t="shared" si="0"/>
        <v>13000</v>
      </c>
      <c r="G17" s="67"/>
      <c r="H17" s="64">
        <f t="shared" si="1"/>
        <v>344.09</v>
      </c>
      <c r="I17" s="64">
        <f t="shared" si="2"/>
        <v>12655.909999999998</v>
      </c>
    </row>
    <row r="18" spans="1:9" x14ac:dyDescent="0.2">
      <c r="A18" s="85"/>
      <c r="B18" s="60"/>
      <c r="C18" s="60"/>
      <c r="D18" s="83"/>
      <c r="E18" s="63"/>
      <c r="F18" s="63">
        <f t="shared" si="0"/>
        <v>13000</v>
      </c>
      <c r="G18" s="67"/>
      <c r="H18" s="64">
        <f t="shared" si="1"/>
        <v>344.09</v>
      </c>
      <c r="I18" s="64">
        <f t="shared" si="2"/>
        <v>12655.909999999998</v>
      </c>
    </row>
    <row r="19" spans="1:9" x14ac:dyDescent="0.2">
      <c r="A19" s="82"/>
      <c r="B19" s="60"/>
      <c r="C19" s="60"/>
      <c r="D19" s="83"/>
      <c r="E19" s="63"/>
      <c r="F19" s="63">
        <f t="shared" si="0"/>
        <v>13000</v>
      </c>
      <c r="G19" s="64"/>
      <c r="H19" s="64">
        <f t="shared" si="1"/>
        <v>344.09</v>
      </c>
      <c r="I19" s="64">
        <f t="shared" si="2"/>
        <v>12655.909999999998</v>
      </c>
    </row>
    <row r="20" spans="1:9" x14ac:dyDescent="0.2">
      <c r="A20" s="82"/>
      <c r="B20" s="60"/>
      <c r="C20" s="60"/>
      <c r="D20" s="83"/>
      <c r="E20" s="63"/>
      <c r="F20" s="63">
        <f t="shared" si="0"/>
        <v>13000</v>
      </c>
      <c r="G20" s="64"/>
      <c r="H20" s="64">
        <f t="shared" si="1"/>
        <v>344.09</v>
      </c>
      <c r="I20" s="64">
        <f t="shared" si="2"/>
        <v>12655.909999999998</v>
      </c>
    </row>
    <row r="21" spans="1:9" x14ac:dyDescent="0.2">
      <c r="A21" s="82"/>
      <c r="B21" s="60"/>
      <c r="C21" s="60"/>
      <c r="D21" s="86"/>
      <c r="E21" s="63"/>
      <c r="F21" s="63">
        <f t="shared" si="0"/>
        <v>13000</v>
      </c>
      <c r="G21" s="64"/>
      <c r="H21" s="64">
        <f t="shared" si="1"/>
        <v>344.09</v>
      </c>
      <c r="I21" s="64">
        <f t="shared" si="2"/>
        <v>12655.909999999998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13000</v>
      </c>
      <c r="F23" s="72"/>
      <c r="G23" s="72">
        <f>SUM(G9:G22)</f>
        <v>344.09</v>
      </c>
      <c r="H23" s="72"/>
      <c r="I23" s="72">
        <f>E23-G23</f>
        <v>12655.91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indexed="30"/>
  </sheetPr>
  <dimension ref="A1:AD41"/>
  <sheetViews>
    <sheetView zoomScaleNormal="100" workbookViewId="0">
      <selection activeCell="E14" sqref="E1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#9456.00'!B1</f>
        <v>IDOE ISD Elementary School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#9456.00'!B2</f>
        <v>Project # 9456.00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#9456.00'!B3</f>
        <v>Program code 945600</v>
      </c>
      <c r="E3" s="8" t="str">
        <f>'RECAP #9456.00'!E3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266" t="s">
        <v>219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#9456.00'!B6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H24"/>
  <sheetViews>
    <sheetView zoomScaleNormal="100" workbookViewId="0">
      <selection activeCell="B10" sqref="B1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119</v>
      </c>
      <c r="C1" s="3"/>
    </row>
    <row r="2" spans="1:8" ht="15.75" x14ac:dyDescent="0.25">
      <c r="B2" s="6" t="s">
        <v>145</v>
      </c>
    </row>
    <row r="3" spans="1:8" ht="15.75" x14ac:dyDescent="0.25">
      <c r="B3" s="7" t="s">
        <v>146</v>
      </c>
      <c r="E3" s="8" t="s">
        <v>144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FINANCIAL!G32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'#9457.00 Samuels Group'!D23</f>
        <v>24471.919999999998</v>
      </c>
      <c r="E10" s="24">
        <f>'#9457.00 Samuels Group'!F23</f>
        <v>0</v>
      </c>
      <c r="F10" s="24">
        <f>'#9457.00 Samuels Group'!H23</f>
        <v>24471.919999999998</v>
      </c>
      <c r="G10" s="25"/>
      <c r="H10" s="17"/>
    </row>
    <row r="11" spans="1:8" x14ac:dyDescent="0.2">
      <c r="B11" s="5" t="s">
        <v>14</v>
      </c>
      <c r="C11" s="26"/>
      <c r="D11" s="24">
        <f>'#9457.00 PM TIME'!E23</f>
        <v>13000</v>
      </c>
      <c r="E11" s="24">
        <f>'#9457.00 PM TIME'!G23</f>
        <v>344.09</v>
      </c>
      <c r="F11" s="24">
        <f>'#9457.00 PM TIME'!I23</f>
        <v>12655.91</v>
      </c>
      <c r="G11" s="25"/>
      <c r="H11" s="17"/>
    </row>
    <row r="12" spans="1:8" x14ac:dyDescent="0.2">
      <c r="B12" s="5" t="s">
        <v>15</v>
      </c>
      <c r="C12" s="27"/>
      <c r="D12" s="28">
        <f>'#9457.00 Misc'!G22</f>
        <v>0</v>
      </c>
      <c r="E12" s="28">
        <f>'#9457.00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300000</v>
      </c>
      <c r="D14" s="32">
        <f>SUM(D8:D13)</f>
        <v>37471.919999999998</v>
      </c>
      <c r="E14" s="32">
        <f>SUM(E8:E13)</f>
        <v>344.09</v>
      </c>
      <c r="F14" s="32">
        <f>SUM(D14-E14)</f>
        <v>37127.83</v>
      </c>
      <c r="G14" s="32">
        <f>C14-D14</f>
        <v>262528.08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140625" style="65" customWidth="1"/>
    <col min="9" max="16384" width="11.42578125" style="65"/>
  </cols>
  <sheetData>
    <row r="1" spans="1:9" s="35" customFormat="1" ht="24.75" customHeight="1" x14ac:dyDescent="0.25">
      <c r="A1" s="2" t="str">
        <f>'RECAP #9457.00'!B1</f>
        <v>IDOE ISD High School Gym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#9457.00'!B2</f>
        <v>Project # 9457.00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#9457.00'!B3</f>
        <v>Program code 945700</v>
      </c>
      <c r="B3" s="5"/>
      <c r="C3" s="4"/>
      <c r="D3" s="8" t="str">
        <f>'RECAP #9457.00'!E3</f>
        <v>Major Program 4E02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#9457.00'!B6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218</v>
      </c>
      <c r="B9" s="60">
        <v>45589</v>
      </c>
      <c r="C9" s="61" t="s">
        <v>167</v>
      </c>
      <c r="D9" s="247">
        <v>24471.919999999998</v>
      </c>
      <c r="E9" s="63">
        <f>D9</f>
        <v>24471.919999999998</v>
      </c>
      <c r="F9" s="64"/>
      <c r="G9" s="64"/>
      <c r="H9" s="64">
        <f>E9</f>
        <v>24471.919999999998</v>
      </c>
    </row>
    <row r="10" spans="1:9" x14ac:dyDescent="0.2">
      <c r="A10" s="59"/>
      <c r="B10" s="66"/>
      <c r="C10" s="61"/>
      <c r="D10" s="63"/>
      <c r="E10" s="63">
        <f t="shared" ref="E10:E21" si="0">E9+D10</f>
        <v>24471.919999999998</v>
      </c>
      <c r="F10" s="67"/>
      <c r="G10" s="64">
        <f t="shared" ref="G10:G21" si="1">G9+F10</f>
        <v>0</v>
      </c>
      <c r="H10" s="64">
        <f t="shared" ref="H10:H21" si="2">H9-F10+D10</f>
        <v>24471.919999999998</v>
      </c>
    </row>
    <row r="11" spans="1:9" x14ac:dyDescent="0.2">
      <c r="A11" s="59"/>
      <c r="B11" s="60"/>
      <c r="C11" s="61"/>
      <c r="D11" s="63"/>
      <c r="E11" s="63">
        <f t="shared" si="0"/>
        <v>24471.919999999998</v>
      </c>
      <c r="F11" s="67"/>
      <c r="G11" s="64">
        <f t="shared" si="1"/>
        <v>0</v>
      </c>
      <c r="H11" s="64">
        <f t="shared" si="2"/>
        <v>24471.919999999998</v>
      </c>
    </row>
    <row r="12" spans="1:9" x14ac:dyDescent="0.2">
      <c r="A12" s="59"/>
      <c r="B12" s="60"/>
      <c r="C12" s="61"/>
      <c r="D12" s="63"/>
      <c r="E12" s="63">
        <f t="shared" si="0"/>
        <v>24471.919999999998</v>
      </c>
      <c r="F12" s="67"/>
      <c r="G12" s="64">
        <f t="shared" si="1"/>
        <v>0</v>
      </c>
      <c r="H12" s="64">
        <f t="shared" si="2"/>
        <v>24471.919999999998</v>
      </c>
    </row>
    <row r="13" spans="1:9" x14ac:dyDescent="0.2">
      <c r="A13" s="59"/>
      <c r="B13" s="60"/>
      <c r="C13" s="61"/>
      <c r="D13" s="63"/>
      <c r="E13" s="63">
        <f t="shared" si="0"/>
        <v>24471.919999999998</v>
      </c>
      <c r="F13" s="67"/>
      <c r="G13" s="64">
        <f t="shared" si="1"/>
        <v>0</v>
      </c>
      <c r="H13" s="64">
        <f t="shared" si="2"/>
        <v>24471.919999999998</v>
      </c>
    </row>
    <row r="14" spans="1:9" x14ac:dyDescent="0.2">
      <c r="A14" s="59"/>
      <c r="B14" s="60"/>
      <c r="C14" s="61"/>
      <c r="D14" s="63"/>
      <c r="E14" s="63">
        <f t="shared" si="0"/>
        <v>24471.919999999998</v>
      </c>
      <c r="F14" s="64"/>
      <c r="G14" s="64">
        <f t="shared" si="1"/>
        <v>0</v>
      </c>
      <c r="H14" s="64">
        <f t="shared" si="2"/>
        <v>24471.919999999998</v>
      </c>
    </row>
    <row r="15" spans="1:9" x14ac:dyDescent="0.2">
      <c r="A15" s="59"/>
      <c r="B15" s="60"/>
      <c r="C15" s="61"/>
      <c r="D15" s="63"/>
      <c r="E15" s="63">
        <f t="shared" si="0"/>
        <v>24471.919999999998</v>
      </c>
      <c r="F15" s="67"/>
      <c r="G15" s="64">
        <f t="shared" si="1"/>
        <v>0</v>
      </c>
      <c r="H15" s="64">
        <f t="shared" si="2"/>
        <v>24471.919999999998</v>
      </c>
    </row>
    <row r="16" spans="1:9" x14ac:dyDescent="0.2">
      <c r="A16" s="59"/>
      <c r="B16" s="60"/>
      <c r="C16" s="61"/>
      <c r="D16" s="63"/>
      <c r="E16" s="63">
        <f t="shared" si="0"/>
        <v>24471.919999999998</v>
      </c>
      <c r="F16" s="67"/>
      <c r="G16" s="64">
        <f t="shared" si="1"/>
        <v>0</v>
      </c>
      <c r="H16" s="64">
        <f t="shared" si="2"/>
        <v>24471.919999999998</v>
      </c>
    </row>
    <row r="17" spans="1:8" x14ac:dyDescent="0.2">
      <c r="A17" s="59"/>
      <c r="B17" s="60"/>
      <c r="C17" s="61"/>
      <c r="D17" s="63"/>
      <c r="E17" s="63">
        <f t="shared" si="0"/>
        <v>24471.919999999998</v>
      </c>
      <c r="F17" s="67"/>
      <c r="G17" s="64">
        <f t="shared" si="1"/>
        <v>0</v>
      </c>
      <c r="H17" s="64">
        <f t="shared" si="2"/>
        <v>24471.919999999998</v>
      </c>
    </row>
    <row r="18" spans="1:8" x14ac:dyDescent="0.2">
      <c r="A18" s="59"/>
      <c r="B18" s="60"/>
      <c r="C18" s="61"/>
      <c r="D18" s="63"/>
      <c r="E18" s="63">
        <f t="shared" si="0"/>
        <v>24471.919999999998</v>
      </c>
      <c r="F18" s="67"/>
      <c r="G18" s="64">
        <f t="shared" si="1"/>
        <v>0</v>
      </c>
      <c r="H18" s="64">
        <f t="shared" si="2"/>
        <v>24471.919999999998</v>
      </c>
    </row>
    <row r="19" spans="1:8" x14ac:dyDescent="0.2">
      <c r="A19" s="59"/>
      <c r="B19" s="60"/>
      <c r="C19" s="61"/>
      <c r="D19" s="63"/>
      <c r="E19" s="63">
        <f t="shared" si="0"/>
        <v>24471.919999999998</v>
      </c>
      <c r="F19" s="64"/>
      <c r="G19" s="64">
        <f t="shared" si="1"/>
        <v>0</v>
      </c>
      <c r="H19" s="64">
        <f t="shared" si="2"/>
        <v>24471.919999999998</v>
      </c>
    </row>
    <row r="20" spans="1:8" x14ac:dyDescent="0.2">
      <c r="A20" s="59"/>
      <c r="B20" s="60"/>
      <c r="C20" s="61"/>
      <c r="D20" s="63"/>
      <c r="E20" s="63">
        <f t="shared" si="0"/>
        <v>24471.919999999998</v>
      </c>
      <c r="F20" s="64"/>
      <c r="G20" s="64">
        <f t="shared" si="1"/>
        <v>0</v>
      </c>
      <c r="H20" s="64">
        <f t="shared" si="2"/>
        <v>24471.919999999998</v>
      </c>
    </row>
    <row r="21" spans="1:8" x14ac:dyDescent="0.2">
      <c r="A21" s="59"/>
      <c r="B21" s="60"/>
      <c r="C21" s="68"/>
      <c r="D21" s="63"/>
      <c r="E21" s="63">
        <f t="shared" si="0"/>
        <v>24471.919999999998</v>
      </c>
      <c r="F21" s="64"/>
      <c r="G21" s="64">
        <f t="shared" si="1"/>
        <v>0</v>
      </c>
      <c r="H21" s="64">
        <f t="shared" si="2"/>
        <v>24471.919999999998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24471.919999999998</v>
      </c>
      <c r="E23" s="72"/>
      <c r="F23" s="72">
        <f>SUM(F9:F22)</f>
        <v>0</v>
      </c>
      <c r="G23" s="72"/>
      <c r="H23" s="72">
        <f>D23-F23</f>
        <v>24471.919999999998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21631.919999999998</v>
      </c>
      <c r="E26" s="252"/>
      <c r="F26" s="252"/>
      <c r="G26" s="252"/>
      <c r="H26" s="252">
        <f>D26-F26</f>
        <v>21631.919999999998</v>
      </c>
    </row>
    <row r="27" spans="1:8" x14ac:dyDescent="0.2">
      <c r="A27" s="73"/>
      <c r="B27" s="61"/>
      <c r="C27" s="251" t="s">
        <v>173</v>
      </c>
      <c r="D27" s="252">
        <v>2840</v>
      </c>
      <c r="E27" s="252"/>
      <c r="F27" s="252"/>
      <c r="G27" s="252"/>
      <c r="H27" s="252">
        <f>D27-F27</f>
        <v>2840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24471.919999999998</v>
      </c>
      <c r="E28" s="255"/>
      <c r="F28" s="254">
        <f>SUM(F26:F27)</f>
        <v>0</v>
      </c>
      <c r="G28" s="255"/>
      <c r="H28" s="254">
        <f>SUM(H26:H27)</f>
        <v>24471.919999999998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9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J627"/>
  <sheetViews>
    <sheetView zoomScaleNormal="100" workbookViewId="0">
      <selection activeCell="M34" sqref="M3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5703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5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#9457.00'!B1</f>
        <v>IDOE ISD High School Gym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#9457.00'!B2</f>
        <v>Project # 9457.00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#9457.00'!B3</f>
        <v>Program code 945700</v>
      </c>
      <c r="B3" s="5"/>
      <c r="C3" s="5"/>
      <c r="D3" s="4"/>
      <c r="E3" s="8" t="str">
        <f>'RECAP #9457.00'!E3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162</v>
      </c>
      <c r="F6" s="50"/>
      <c r="G6" s="51"/>
      <c r="H6" s="47"/>
      <c r="I6" s="42"/>
    </row>
    <row r="7" spans="1:10" s="35" customFormat="1" ht="15.75" x14ac:dyDescent="0.25">
      <c r="A7" s="13" t="str">
        <f>'RECAP #9457.00'!B6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13000</v>
      </c>
      <c r="F9" s="63">
        <f>E9</f>
        <v>13000</v>
      </c>
      <c r="G9" s="64"/>
      <c r="H9" s="64"/>
      <c r="I9" s="64">
        <f>F9</f>
        <v>13000</v>
      </c>
    </row>
    <row r="10" spans="1:10" x14ac:dyDescent="0.2">
      <c r="A10" s="257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13000</v>
      </c>
      <c r="G10" s="258">
        <f>9.31+19.63</f>
        <v>28.939999999999998</v>
      </c>
      <c r="H10" s="64">
        <f t="shared" ref="H10:H21" si="1">H9+G10</f>
        <v>28.939999999999998</v>
      </c>
      <c r="I10" s="64">
        <f t="shared" ref="I10:I21" si="2">I9-G10+E10</f>
        <v>12971.06</v>
      </c>
    </row>
    <row r="11" spans="1:10" x14ac:dyDescent="0.2">
      <c r="A11" s="257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13000</v>
      </c>
      <c r="G11" s="258">
        <f>14.5+177.1</f>
        <v>191.6</v>
      </c>
      <c r="H11" s="64">
        <f t="shared" si="1"/>
        <v>220.54</v>
      </c>
      <c r="I11" s="64">
        <f t="shared" si="2"/>
        <v>12779.46</v>
      </c>
    </row>
    <row r="12" spans="1:10" x14ac:dyDescent="0.2">
      <c r="A12" s="257" t="s">
        <v>345</v>
      </c>
      <c r="B12" s="275">
        <v>45635</v>
      </c>
      <c r="C12" s="276">
        <v>2507</v>
      </c>
      <c r="D12" s="277" t="s">
        <v>346</v>
      </c>
      <c r="E12" s="63"/>
      <c r="F12" s="63">
        <f t="shared" si="0"/>
        <v>13000</v>
      </c>
      <c r="G12" s="258">
        <f>5.93+10.52</f>
        <v>16.45</v>
      </c>
      <c r="H12" s="64">
        <f t="shared" si="1"/>
        <v>236.98999999999998</v>
      </c>
      <c r="I12" s="64">
        <f t="shared" si="2"/>
        <v>12763.009999999998</v>
      </c>
    </row>
    <row r="13" spans="1:10" x14ac:dyDescent="0.2">
      <c r="A13" s="257" t="s">
        <v>345</v>
      </c>
      <c r="B13" s="275">
        <v>45635</v>
      </c>
      <c r="C13" s="276">
        <v>9500</v>
      </c>
      <c r="D13" s="278" t="s">
        <v>347</v>
      </c>
      <c r="E13" s="63"/>
      <c r="F13" s="63">
        <f t="shared" si="0"/>
        <v>13000</v>
      </c>
      <c r="G13" s="258">
        <f>7+100.1</f>
        <v>107.1</v>
      </c>
      <c r="H13" s="64">
        <f t="shared" si="1"/>
        <v>344.09</v>
      </c>
      <c r="I13" s="64">
        <f t="shared" si="2"/>
        <v>12655.909999999998</v>
      </c>
    </row>
    <row r="14" spans="1:10" x14ac:dyDescent="0.2">
      <c r="A14" s="85"/>
      <c r="B14" s="60"/>
      <c r="C14" s="60"/>
      <c r="D14" s="83"/>
      <c r="E14" s="63"/>
      <c r="F14" s="63">
        <f t="shared" si="0"/>
        <v>13000</v>
      </c>
      <c r="G14" s="64"/>
      <c r="H14" s="64">
        <f t="shared" si="1"/>
        <v>344.09</v>
      </c>
      <c r="I14" s="64">
        <f t="shared" si="2"/>
        <v>12655.909999999998</v>
      </c>
    </row>
    <row r="15" spans="1:10" x14ac:dyDescent="0.2">
      <c r="A15" s="85"/>
      <c r="B15" s="60"/>
      <c r="C15" s="60"/>
      <c r="D15" s="83"/>
      <c r="E15" s="63"/>
      <c r="F15" s="63">
        <f t="shared" si="0"/>
        <v>13000</v>
      </c>
      <c r="G15" s="67"/>
      <c r="H15" s="64">
        <f t="shared" si="1"/>
        <v>344.09</v>
      </c>
      <c r="I15" s="64">
        <f t="shared" si="2"/>
        <v>12655.909999999998</v>
      </c>
    </row>
    <row r="16" spans="1:10" x14ac:dyDescent="0.2">
      <c r="A16" s="85"/>
      <c r="B16" s="60"/>
      <c r="C16" s="60"/>
      <c r="D16" s="83"/>
      <c r="E16" s="63"/>
      <c r="F16" s="63">
        <f t="shared" si="0"/>
        <v>13000</v>
      </c>
      <c r="G16" s="67"/>
      <c r="H16" s="64">
        <f t="shared" si="1"/>
        <v>344.09</v>
      </c>
      <c r="I16" s="64">
        <f t="shared" si="2"/>
        <v>12655.909999999998</v>
      </c>
    </row>
    <row r="17" spans="1:9" x14ac:dyDescent="0.2">
      <c r="A17" s="85"/>
      <c r="B17" s="60"/>
      <c r="C17" s="60"/>
      <c r="D17" s="83"/>
      <c r="E17" s="63"/>
      <c r="F17" s="63">
        <f t="shared" si="0"/>
        <v>13000</v>
      </c>
      <c r="G17" s="67"/>
      <c r="H17" s="64">
        <f t="shared" si="1"/>
        <v>344.09</v>
      </c>
      <c r="I17" s="64">
        <f t="shared" si="2"/>
        <v>12655.909999999998</v>
      </c>
    </row>
    <row r="18" spans="1:9" x14ac:dyDescent="0.2">
      <c r="A18" s="85"/>
      <c r="B18" s="60"/>
      <c r="C18" s="60"/>
      <c r="D18" s="83"/>
      <c r="E18" s="63"/>
      <c r="F18" s="63">
        <f t="shared" si="0"/>
        <v>13000</v>
      </c>
      <c r="G18" s="67"/>
      <c r="H18" s="64">
        <f t="shared" si="1"/>
        <v>344.09</v>
      </c>
      <c r="I18" s="64">
        <f t="shared" si="2"/>
        <v>12655.909999999998</v>
      </c>
    </row>
    <row r="19" spans="1:9" x14ac:dyDescent="0.2">
      <c r="A19" s="82"/>
      <c r="B19" s="60"/>
      <c r="C19" s="60"/>
      <c r="D19" s="83"/>
      <c r="E19" s="63"/>
      <c r="F19" s="63">
        <f t="shared" si="0"/>
        <v>13000</v>
      </c>
      <c r="G19" s="64"/>
      <c r="H19" s="64">
        <f t="shared" si="1"/>
        <v>344.09</v>
      </c>
      <c r="I19" s="64">
        <f t="shared" si="2"/>
        <v>12655.909999999998</v>
      </c>
    </row>
    <row r="20" spans="1:9" x14ac:dyDescent="0.2">
      <c r="A20" s="82"/>
      <c r="B20" s="60"/>
      <c r="C20" s="60"/>
      <c r="D20" s="83"/>
      <c r="E20" s="63"/>
      <c r="F20" s="63">
        <f t="shared" si="0"/>
        <v>13000</v>
      </c>
      <c r="G20" s="64"/>
      <c r="H20" s="64">
        <f t="shared" si="1"/>
        <v>344.09</v>
      </c>
      <c r="I20" s="64">
        <f t="shared" si="2"/>
        <v>12655.909999999998</v>
      </c>
    </row>
    <row r="21" spans="1:9" x14ac:dyDescent="0.2">
      <c r="A21" s="82"/>
      <c r="B21" s="60"/>
      <c r="C21" s="60"/>
      <c r="D21" s="86"/>
      <c r="E21" s="63"/>
      <c r="F21" s="63">
        <f t="shared" si="0"/>
        <v>13000</v>
      </c>
      <c r="G21" s="64"/>
      <c r="H21" s="64">
        <f t="shared" si="1"/>
        <v>344.09</v>
      </c>
      <c r="I21" s="64">
        <f t="shared" si="2"/>
        <v>12655.909999999998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13000</v>
      </c>
      <c r="F23" s="72"/>
      <c r="G23" s="72">
        <f>SUM(G9:G22)</f>
        <v>344.09</v>
      </c>
      <c r="H23" s="72"/>
      <c r="I23" s="72">
        <f>E23-G23</f>
        <v>12655.91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indexed="30"/>
  </sheetPr>
  <dimension ref="A1:AD41"/>
  <sheetViews>
    <sheetView zoomScaleNormal="100" workbookViewId="0">
      <selection activeCell="E16" sqref="E1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#9457.00'!B1</f>
        <v>IDOE ISD High School Gym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#9457.00'!B2</f>
        <v>Project # 9457.00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#9457.00'!B3</f>
        <v>Program code 945700</v>
      </c>
      <c r="E3" s="8" t="str">
        <f>'RECAP #9457.00'!E3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219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#9457.00'!B6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H24"/>
  <sheetViews>
    <sheetView zoomScaleNormal="100" workbookViewId="0">
      <selection activeCell="B18" sqref="B1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120</v>
      </c>
      <c r="C1" s="3"/>
    </row>
    <row r="2" spans="1:8" ht="15.75" x14ac:dyDescent="0.25">
      <c r="B2" s="6" t="s">
        <v>147</v>
      </c>
    </row>
    <row r="3" spans="1:8" ht="15.75" x14ac:dyDescent="0.25">
      <c r="B3" s="7" t="s">
        <v>148</v>
      </c>
      <c r="E3" s="8" t="s">
        <v>141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FINANCIAL!G33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'#9458.00 McGough'!D23</f>
        <v>15563.96</v>
      </c>
      <c r="E10" s="24">
        <f>'#9458.00 McGough'!F23</f>
        <v>0</v>
      </c>
      <c r="F10" s="24">
        <f>'#9458.00 McGough'!H23</f>
        <v>15563.96</v>
      </c>
      <c r="G10" s="25"/>
      <c r="H10" s="17"/>
    </row>
    <row r="11" spans="1:8" x14ac:dyDescent="0.2">
      <c r="B11" s="5" t="s">
        <v>14</v>
      </c>
      <c r="C11" s="26"/>
      <c r="D11" s="24">
        <f>'#9458.00 PM TIME'!E23</f>
        <v>10000</v>
      </c>
      <c r="E11" s="24">
        <f>'#9458.00 PM TIME'!G23</f>
        <v>1943.81</v>
      </c>
      <c r="F11" s="24">
        <f>'#9458.00 PM TIME'!I23</f>
        <v>8056.1900000000005</v>
      </c>
      <c r="G11" s="25"/>
      <c r="H11" s="17"/>
    </row>
    <row r="12" spans="1:8" x14ac:dyDescent="0.2">
      <c r="B12" s="5" t="s">
        <v>15</v>
      </c>
      <c r="C12" s="27"/>
      <c r="D12" s="28">
        <f>'#9458.00 Misc '!G22</f>
        <v>0</v>
      </c>
      <c r="E12" s="28">
        <f>'#9458.00 Misc 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300000</v>
      </c>
      <c r="D14" s="32">
        <f>SUM(D8:D13)</f>
        <v>25563.96</v>
      </c>
      <c r="E14" s="32">
        <f>SUM(E8:E13)</f>
        <v>1943.81</v>
      </c>
      <c r="F14" s="32">
        <f>SUM(D14-E14)</f>
        <v>23620.149999999998</v>
      </c>
      <c r="G14" s="32">
        <f>C14-D14</f>
        <v>274436.03999999998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I627"/>
  <sheetViews>
    <sheetView zoomScaleNormal="100" workbookViewId="0">
      <selection activeCell="K39" sqref="K3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85546875" style="65" customWidth="1"/>
    <col min="9" max="16384" width="11.42578125" style="65"/>
  </cols>
  <sheetData>
    <row r="1" spans="1:9" s="35" customFormat="1" ht="24.75" customHeight="1" x14ac:dyDescent="0.25">
      <c r="A1" s="2" t="str">
        <f>'RECAP #9458.00'!B1</f>
        <v>DOC NCCF Powerhouse Water Heater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#9458.00'!B2</f>
        <v>Project # 9458.00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#9458.00'!B3</f>
        <v>Program code 945800</v>
      </c>
      <c r="B3" s="5"/>
      <c r="C3" s="4"/>
      <c r="D3" s="8" t="str">
        <f>'RECAP #9458.00'!E3</f>
        <v>Major Program 4F04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267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#9458.00'!B6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260</v>
      </c>
      <c r="B9" s="60">
        <v>45968</v>
      </c>
      <c r="C9" s="61" t="s">
        <v>167</v>
      </c>
      <c r="D9" s="247">
        <v>15563.96</v>
      </c>
      <c r="E9" s="63">
        <f>D9</f>
        <v>15563.96</v>
      </c>
      <c r="F9" s="64"/>
      <c r="G9" s="64"/>
      <c r="H9" s="64">
        <f>E9</f>
        <v>15563.96</v>
      </c>
    </row>
    <row r="10" spans="1:9" x14ac:dyDescent="0.2">
      <c r="A10" s="59"/>
      <c r="B10" s="66"/>
      <c r="C10" s="61"/>
      <c r="D10" s="63"/>
      <c r="E10" s="63">
        <f t="shared" ref="E10:E21" si="0">E9+D10</f>
        <v>15563.96</v>
      </c>
      <c r="F10" s="67"/>
      <c r="G10" s="64">
        <f t="shared" ref="G10:G21" si="1">G9+F10</f>
        <v>0</v>
      </c>
      <c r="H10" s="64">
        <f t="shared" ref="H10:H21" si="2">H9-F10+D10</f>
        <v>15563.96</v>
      </c>
    </row>
    <row r="11" spans="1:9" x14ac:dyDescent="0.2">
      <c r="A11" s="59"/>
      <c r="B11" s="60"/>
      <c r="C11" s="61"/>
      <c r="D11" s="63"/>
      <c r="E11" s="63">
        <f t="shared" si="0"/>
        <v>15563.96</v>
      </c>
      <c r="F11" s="67"/>
      <c r="G11" s="64">
        <f t="shared" si="1"/>
        <v>0</v>
      </c>
      <c r="H11" s="64">
        <f t="shared" si="2"/>
        <v>15563.96</v>
      </c>
    </row>
    <row r="12" spans="1:9" x14ac:dyDescent="0.2">
      <c r="A12" s="59"/>
      <c r="B12" s="60"/>
      <c r="C12" s="61"/>
      <c r="D12" s="63"/>
      <c r="E12" s="63">
        <f t="shared" si="0"/>
        <v>15563.96</v>
      </c>
      <c r="F12" s="67"/>
      <c r="G12" s="64">
        <f t="shared" si="1"/>
        <v>0</v>
      </c>
      <c r="H12" s="64">
        <f t="shared" si="2"/>
        <v>15563.96</v>
      </c>
    </row>
    <row r="13" spans="1:9" x14ac:dyDescent="0.2">
      <c r="A13" s="59"/>
      <c r="B13" s="60"/>
      <c r="C13" s="61"/>
      <c r="D13" s="63"/>
      <c r="E13" s="63">
        <f t="shared" si="0"/>
        <v>15563.96</v>
      </c>
      <c r="F13" s="67"/>
      <c r="G13" s="64">
        <f t="shared" si="1"/>
        <v>0</v>
      </c>
      <c r="H13" s="64">
        <f t="shared" si="2"/>
        <v>15563.96</v>
      </c>
    </row>
    <row r="14" spans="1:9" x14ac:dyDescent="0.2">
      <c r="A14" s="59"/>
      <c r="B14" s="60"/>
      <c r="C14" s="61"/>
      <c r="D14" s="63"/>
      <c r="E14" s="63">
        <f t="shared" si="0"/>
        <v>15563.96</v>
      </c>
      <c r="F14" s="64"/>
      <c r="G14" s="64">
        <f t="shared" si="1"/>
        <v>0</v>
      </c>
      <c r="H14" s="64">
        <f t="shared" si="2"/>
        <v>15563.96</v>
      </c>
    </row>
    <row r="15" spans="1:9" x14ac:dyDescent="0.2">
      <c r="A15" s="59"/>
      <c r="B15" s="60"/>
      <c r="C15" s="61"/>
      <c r="D15" s="63"/>
      <c r="E15" s="63">
        <f t="shared" si="0"/>
        <v>15563.96</v>
      </c>
      <c r="F15" s="67"/>
      <c r="G15" s="64">
        <f t="shared" si="1"/>
        <v>0</v>
      </c>
      <c r="H15" s="64">
        <f t="shared" si="2"/>
        <v>15563.96</v>
      </c>
    </row>
    <row r="16" spans="1:9" x14ac:dyDescent="0.2">
      <c r="A16" s="59"/>
      <c r="B16" s="60"/>
      <c r="C16" s="61"/>
      <c r="D16" s="63"/>
      <c r="E16" s="63">
        <f t="shared" si="0"/>
        <v>15563.96</v>
      </c>
      <c r="F16" s="67"/>
      <c r="G16" s="64">
        <f t="shared" si="1"/>
        <v>0</v>
      </c>
      <c r="H16" s="64">
        <f t="shared" si="2"/>
        <v>15563.96</v>
      </c>
    </row>
    <row r="17" spans="1:8" x14ac:dyDescent="0.2">
      <c r="A17" s="59"/>
      <c r="B17" s="60"/>
      <c r="C17" s="61"/>
      <c r="D17" s="63"/>
      <c r="E17" s="63">
        <f t="shared" si="0"/>
        <v>15563.96</v>
      </c>
      <c r="F17" s="67"/>
      <c r="G17" s="64">
        <f t="shared" si="1"/>
        <v>0</v>
      </c>
      <c r="H17" s="64">
        <f t="shared" si="2"/>
        <v>15563.96</v>
      </c>
    </row>
    <row r="18" spans="1:8" x14ac:dyDescent="0.2">
      <c r="A18" s="59"/>
      <c r="B18" s="60"/>
      <c r="C18" s="61"/>
      <c r="D18" s="63"/>
      <c r="E18" s="63">
        <f t="shared" si="0"/>
        <v>15563.96</v>
      </c>
      <c r="F18" s="67"/>
      <c r="G18" s="64">
        <f t="shared" si="1"/>
        <v>0</v>
      </c>
      <c r="H18" s="64">
        <f t="shared" si="2"/>
        <v>15563.96</v>
      </c>
    </row>
    <row r="19" spans="1:8" x14ac:dyDescent="0.2">
      <c r="A19" s="59"/>
      <c r="B19" s="60"/>
      <c r="C19" s="61"/>
      <c r="D19" s="63"/>
      <c r="E19" s="63">
        <f t="shared" si="0"/>
        <v>15563.96</v>
      </c>
      <c r="F19" s="64"/>
      <c r="G19" s="64">
        <f t="shared" si="1"/>
        <v>0</v>
      </c>
      <c r="H19" s="64">
        <f t="shared" si="2"/>
        <v>15563.96</v>
      </c>
    </row>
    <row r="20" spans="1:8" x14ac:dyDescent="0.2">
      <c r="A20" s="59"/>
      <c r="B20" s="60"/>
      <c r="C20" s="61"/>
      <c r="D20" s="63"/>
      <c r="E20" s="63">
        <f t="shared" si="0"/>
        <v>15563.96</v>
      </c>
      <c r="F20" s="64"/>
      <c r="G20" s="64">
        <f t="shared" si="1"/>
        <v>0</v>
      </c>
      <c r="H20" s="64">
        <f t="shared" si="2"/>
        <v>15563.96</v>
      </c>
    </row>
    <row r="21" spans="1:8" x14ac:dyDescent="0.2">
      <c r="A21" s="59"/>
      <c r="B21" s="60"/>
      <c r="C21" s="68"/>
      <c r="D21" s="63"/>
      <c r="E21" s="63">
        <f t="shared" si="0"/>
        <v>15563.96</v>
      </c>
      <c r="F21" s="64"/>
      <c r="G21" s="64">
        <f t="shared" si="1"/>
        <v>0</v>
      </c>
      <c r="H21" s="64">
        <f t="shared" si="2"/>
        <v>15563.96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15563.96</v>
      </c>
      <c r="E23" s="72"/>
      <c r="F23" s="72">
        <f>SUM(F9:F22)</f>
        <v>0</v>
      </c>
      <c r="G23" s="72"/>
      <c r="H23" s="72">
        <f>D23-F23</f>
        <v>15563.96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261</v>
      </c>
      <c r="D26" s="64">
        <v>15203.96</v>
      </c>
      <c r="E26" s="64"/>
      <c r="F26" s="64"/>
      <c r="G26" s="64"/>
      <c r="H26" s="64">
        <f>D26-F26</f>
        <v>15203.96</v>
      </c>
    </row>
    <row r="27" spans="1:8" x14ac:dyDescent="0.2">
      <c r="A27" s="73"/>
      <c r="B27" s="61"/>
      <c r="C27" s="69" t="s">
        <v>262</v>
      </c>
      <c r="D27" s="64">
        <v>360</v>
      </c>
      <c r="E27" s="64"/>
      <c r="F27" s="64"/>
      <c r="G27" s="64"/>
      <c r="H27" s="64">
        <f>D27-F27</f>
        <v>360</v>
      </c>
    </row>
    <row r="28" spans="1:8" ht="13.5" thickBot="1" x14ac:dyDescent="0.25">
      <c r="A28" s="73"/>
      <c r="B28" s="61"/>
      <c r="C28" s="96" t="s">
        <v>263</v>
      </c>
      <c r="D28" s="72">
        <f>SUM(D26:D27)</f>
        <v>15563.96</v>
      </c>
      <c r="E28" s="268"/>
      <c r="F28" s="72">
        <f>SUM(F26:F27)</f>
        <v>0</v>
      </c>
      <c r="G28" s="268"/>
      <c r="H28" s="72">
        <f>SUM(H26:H27)</f>
        <v>15563.96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8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J627"/>
  <sheetViews>
    <sheetView zoomScaleNormal="100" workbookViewId="0">
      <selection activeCell="G30" sqref="G3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85546875" style="65" customWidth="1"/>
    <col min="10" max="16384" width="11.42578125" style="65"/>
  </cols>
  <sheetData>
    <row r="1" spans="1:10" s="35" customFormat="1" ht="24.75" customHeight="1" x14ac:dyDescent="0.25">
      <c r="A1" s="2" t="str">
        <f>'RECAP #9458.00'!B1</f>
        <v>DOC NCCF Powerhouse Water Heater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#9458.00'!B2</f>
        <v>Project # 9458.00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#9458.00'!B3</f>
        <v>Program code 945800</v>
      </c>
      <c r="B3" s="5"/>
      <c r="C3" s="5"/>
      <c r="D3" s="4"/>
      <c r="E3" s="8" t="str">
        <f>'RECAP #9458.00'!E3</f>
        <v>Major Program 4F04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163</v>
      </c>
      <c r="F6" s="50"/>
      <c r="G6" s="51"/>
      <c r="H6" s="47"/>
      <c r="I6" s="42"/>
    </row>
    <row r="7" spans="1:10" s="35" customFormat="1" ht="15.75" x14ac:dyDescent="0.25">
      <c r="A7" s="13" t="str">
        <f>'RECAP #9458.00'!B6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10000</v>
      </c>
      <c r="F9" s="63">
        <f>E9</f>
        <v>10000</v>
      </c>
      <c r="G9" s="64"/>
      <c r="H9" s="64"/>
      <c r="I9" s="64">
        <f>F9</f>
        <v>10000</v>
      </c>
    </row>
    <row r="10" spans="1:10" x14ac:dyDescent="0.2">
      <c r="A10" s="257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10000</v>
      </c>
      <c r="G10" s="258">
        <f>35.98+73.63</f>
        <v>109.60999999999999</v>
      </c>
      <c r="H10" s="64">
        <f t="shared" ref="H10:H21" si="1">H9+G10</f>
        <v>109.60999999999999</v>
      </c>
      <c r="I10" s="64">
        <f t="shared" ref="I10:I21" si="2">I9-G10+E10</f>
        <v>9890.39</v>
      </c>
    </row>
    <row r="11" spans="1:10" x14ac:dyDescent="0.2">
      <c r="A11" s="257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10000</v>
      </c>
      <c r="G11" s="258">
        <f>54+674.3</f>
        <v>728.3</v>
      </c>
      <c r="H11" s="64">
        <f t="shared" si="1"/>
        <v>837.91</v>
      </c>
      <c r="I11" s="64">
        <f t="shared" si="2"/>
        <v>9162.09</v>
      </c>
    </row>
    <row r="12" spans="1:10" x14ac:dyDescent="0.2">
      <c r="A12" s="257" t="s">
        <v>345</v>
      </c>
      <c r="B12" s="275">
        <v>45635</v>
      </c>
      <c r="C12" s="276">
        <v>2507</v>
      </c>
      <c r="D12" s="277" t="s">
        <v>346</v>
      </c>
      <c r="E12" s="63"/>
      <c r="F12" s="63">
        <f t="shared" si="0"/>
        <v>10000</v>
      </c>
      <c r="G12" s="258">
        <f>51.64+93.26</f>
        <v>144.9</v>
      </c>
      <c r="H12" s="64">
        <f t="shared" si="1"/>
        <v>982.81</v>
      </c>
      <c r="I12" s="64">
        <f t="shared" si="2"/>
        <v>9017.19</v>
      </c>
    </row>
    <row r="13" spans="1:10" x14ac:dyDescent="0.2">
      <c r="A13" s="257" t="s">
        <v>345</v>
      </c>
      <c r="B13" s="275">
        <v>45635</v>
      </c>
      <c r="C13" s="276">
        <v>9500</v>
      </c>
      <c r="D13" s="278" t="s">
        <v>347</v>
      </c>
      <c r="E13" s="63"/>
      <c r="F13" s="63">
        <f t="shared" si="0"/>
        <v>10000</v>
      </c>
      <c r="G13" s="258">
        <f>64.5+896.5</f>
        <v>961</v>
      </c>
      <c r="H13" s="64">
        <f t="shared" si="1"/>
        <v>1943.81</v>
      </c>
      <c r="I13" s="64">
        <f t="shared" si="2"/>
        <v>8056.1900000000005</v>
      </c>
    </row>
    <row r="14" spans="1:10" x14ac:dyDescent="0.2">
      <c r="A14" s="85"/>
      <c r="B14" s="60"/>
      <c r="C14" s="60"/>
      <c r="D14" s="83"/>
      <c r="E14" s="63"/>
      <c r="F14" s="63">
        <f t="shared" si="0"/>
        <v>10000</v>
      </c>
      <c r="G14" s="64"/>
      <c r="H14" s="64">
        <f t="shared" si="1"/>
        <v>1943.81</v>
      </c>
      <c r="I14" s="64">
        <f t="shared" si="2"/>
        <v>8056.1900000000005</v>
      </c>
    </row>
    <row r="15" spans="1:10" x14ac:dyDescent="0.2">
      <c r="A15" s="85"/>
      <c r="B15" s="60"/>
      <c r="C15" s="60"/>
      <c r="D15" s="83"/>
      <c r="E15" s="63"/>
      <c r="F15" s="63">
        <f t="shared" si="0"/>
        <v>10000</v>
      </c>
      <c r="G15" s="67"/>
      <c r="H15" s="64">
        <f t="shared" si="1"/>
        <v>1943.81</v>
      </c>
      <c r="I15" s="64">
        <f t="shared" si="2"/>
        <v>8056.1900000000005</v>
      </c>
    </row>
    <row r="16" spans="1:10" x14ac:dyDescent="0.2">
      <c r="A16" s="85"/>
      <c r="B16" s="60"/>
      <c r="C16" s="60"/>
      <c r="D16" s="83"/>
      <c r="E16" s="63"/>
      <c r="F16" s="63">
        <f t="shared" si="0"/>
        <v>10000</v>
      </c>
      <c r="G16" s="67"/>
      <c r="H16" s="64">
        <f t="shared" si="1"/>
        <v>1943.81</v>
      </c>
      <c r="I16" s="64">
        <f t="shared" si="2"/>
        <v>8056.1900000000005</v>
      </c>
    </row>
    <row r="17" spans="1:9" x14ac:dyDescent="0.2">
      <c r="A17" s="85"/>
      <c r="B17" s="60"/>
      <c r="C17" s="60"/>
      <c r="D17" s="83"/>
      <c r="E17" s="63"/>
      <c r="F17" s="63">
        <f t="shared" si="0"/>
        <v>10000</v>
      </c>
      <c r="G17" s="67"/>
      <c r="H17" s="64">
        <f t="shared" si="1"/>
        <v>1943.81</v>
      </c>
      <c r="I17" s="64">
        <f t="shared" si="2"/>
        <v>8056.1900000000005</v>
      </c>
    </row>
    <row r="18" spans="1:9" x14ac:dyDescent="0.2">
      <c r="A18" s="85"/>
      <c r="B18" s="60"/>
      <c r="C18" s="60"/>
      <c r="D18" s="83"/>
      <c r="E18" s="63"/>
      <c r="F18" s="63">
        <f t="shared" si="0"/>
        <v>10000</v>
      </c>
      <c r="G18" s="67"/>
      <c r="H18" s="64">
        <f t="shared" si="1"/>
        <v>1943.81</v>
      </c>
      <c r="I18" s="64">
        <f t="shared" si="2"/>
        <v>8056.1900000000005</v>
      </c>
    </row>
    <row r="19" spans="1:9" x14ac:dyDescent="0.2">
      <c r="A19" s="82"/>
      <c r="B19" s="60"/>
      <c r="C19" s="60"/>
      <c r="D19" s="83"/>
      <c r="E19" s="63"/>
      <c r="F19" s="63">
        <f t="shared" si="0"/>
        <v>10000</v>
      </c>
      <c r="G19" s="64"/>
      <c r="H19" s="64">
        <f t="shared" si="1"/>
        <v>1943.81</v>
      </c>
      <c r="I19" s="64">
        <f t="shared" si="2"/>
        <v>8056.1900000000005</v>
      </c>
    </row>
    <row r="20" spans="1:9" x14ac:dyDescent="0.2">
      <c r="A20" s="82"/>
      <c r="B20" s="60"/>
      <c r="C20" s="60"/>
      <c r="D20" s="83"/>
      <c r="E20" s="63"/>
      <c r="F20" s="63">
        <f t="shared" si="0"/>
        <v>10000</v>
      </c>
      <c r="G20" s="64"/>
      <c r="H20" s="64">
        <f t="shared" si="1"/>
        <v>1943.81</v>
      </c>
      <c r="I20" s="64">
        <f t="shared" si="2"/>
        <v>8056.1900000000005</v>
      </c>
    </row>
    <row r="21" spans="1:9" x14ac:dyDescent="0.2">
      <c r="A21" s="82"/>
      <c r="B21" s="60"/>
      <c r="C21" s="60"/>
      <c r="D21" s="86"/>
      <c r="E21" s="63"/>
      <c r="F21" s="63">
        <f t="shared" si="0"/>
        <v>10000</v>
      </c>
      <c r="G21" s="64"/>
      <c r="H21" s="64">
        <f t="shared" si="1"/>
        <v>1943.81</v>
      </c>
      <c r="I21" s="64">
        <f t="shared" si="2"/>
        <v>8056.1900000000005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10000</v>
      </c>
      <c r="F23" s="72"/>
      <c r="G23" s="72">
        <f>SUM(G9:G22)</f>
        <v>1943.81</v>
      </c>
      <c r="H23" s="72"/>
      <c r="I23" s="72">
        <f>E23-G23</f>
        <v>8056.1900000000005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#9458.00'!B1</f>
        <v>DOC NCCF Powerhouse Water Heater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#9458.00'!B2</f>
        <v>Project # 9458.00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#9458.00'!B3</f>
        <v>Program code 945800</v>
      </c>
      <c r="E3" s="8" t="str">
        <f>'RECAP #9458.00'!E3</f>
        <v>Major Program 4F04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264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#9458.00'!B6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H25"/>
  <sheetViews>
    <sheetView zoomScaleNormal="100" workbookViewId="0">
      <selection activeCell="D22" sqref="D22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334</v>
      </c>
      <c r="C1" s="3"/>
    </row>
    <row r="2" spans="1:8" ht="15.75" x14ac:dyDescent="0.25">
      <c r="B2" s="6" t="s">
        <v>149</v>
      </c>
    </row>
    <row r="3" spans="1:8" ht="15.75" x14ac:dyDescent="0.25">
      <c r="B3" s="7" t="s">
        <v>150</v>
      </c>
      <c r="E3" s="8" t="s">
        <v>151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FINANCIAL!G34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'#9459.00 McGough Construction'!D23</f>
        <v>16497.41</v>
      </c>
      <c r="E10" s="24">
        <f>'#9459.00 McGough Construction'!F23</f>
        <v>5630.16</v>
      </c>
      <c r="F10" s="24">
        <f>'#9459.00 McGough Construction'!H23</f>
        <v>10867.25</v>
      </c>
      <c r="G10" s="25"/>
      <c r="H10" s="17"/>
    </row>
    <row r="11" spans="1:8" x14ac:dyDescent="0.2">
      <c r="B11" s="5" t="s">
        <v>14</v>
      </c>
      <c r="C11" s="26"/>
      <c r="D11" s="24">
        <f>'#9459.00 PM TIME'!E23</f>
        <v>7200</v>
      </c>
      <c r="E11" s="24">
        <f>'#9459.00 PM TIME'!G23</f>
        <v>4740.96</v>
      </c>
      <c r="F11" s="24">
        <f>'#9459.00 PM TIME'!I23</f>
        <v>2459.04</v>
      </c>
      <c r="G11" s="25"/>
      <c r="H11" s="17"/>
    </row>
    <row r="12" spans="1:8" x14ac:dyDescent="0.2">
      <c r="B12" s="5" t="s">
        <v>15</v>
      </c>
      <c r="C12" s="27"/>
      <c r="D12" s="28">
        <f>'#9459.00 Misc'!G22</f>
        <v>0</v>
      </c>
      <c r="E12" s="28">
        <f>'#9459.00 Misc'!G22</f>
        <v>0</v>
      </c>
      <c r="F12" s="24">
        <f>D12-E12</f>
        <v>0</v>
      </c>
      <c r="G12" s="25"/>
      <c r="H12" s="17"/>
    </row>
    <row r="13" spans="1:8" x14ac:dyDescent="0.2">
      <c r="B13" s="5" t="s">
        <v>227</v>
      </c>
      <c r="C13" s="27"/>
      <c r="D13" s="28">
        <f>'#9459.00 IMEG Corporation'!D23</f>
        <v>20564</v>
      </c>
      <c r="E13" s="28">
        <f>'#9459.00 IMEG Corporation'!F23</f>
        <v>0</v>
      </c>
      <c r="F13" s="24">
        <f>'#9459.00 IMEG Corporation'!H23</f>
        <v>20564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</v>
      </c>
      <c r="D15" s="32">
        <f>SUM(D8:D14)</f>
        <v>44261.41</v>
      </c>
      <c r="E15" s="32">
        <f>SUM(E8:E14)</f>
        <v>10371.119999999999</v>
      </c>
      <c r="F15" s="32">
        <f>SUM(D15-E15)</f>
        <v>33890.290000000008</v>
      </c>
      <c r="G15" s="32">
        <f>C15-D15</f>
        <v>255738.59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I626"/>
  <sheetViews>
    <sheetView zoomScaleNormal="100" workbookViewId="0">
      <selection activeCell="A33" sqref="A3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85546875" style="65" customWidth="1"/>
    <col min="9" max="16384" width="11.42578125" style="65"/>
  </cols>
  <sheetData>
    <row r="1" spans="1:9" s="35" customFormat="1" ht="24.75" customHeight="1" x14ac:dyDescent="0.25">
      <c r="A1" s="2" t="str">
        <f>'RECAP #9459.00'!B1</f>
        <v>HHS STS A.E. Sheperd AC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#9459.00'!B2</f>
        <v>Project # 9459.00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#9459.00'!B3</f>
        <v>Program code 945900</v>
      </c>
      <c r="B3" s="5"/>
      <c r="C3" s="4"/>
      <c r="D3" s="8" t="str">
        <f>'RECAP #9459.00'!E3</f>
        <v>Major Program 4F03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#9459.00'!B6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180</v>
      </c>
      <c r="B9" s="60">
        <v>45548</v>
      </c>
      <c r="C9" s="61" t="s">
        <v>167</v>
      </c>
      <c r="D9" s="247">
        <v>16497.41</v>
      </c>
      <c r="E9" s="63">
        <f>D9</f>
        <v>16497.41</v>
      </c>
      <c r="F9" s="64"/>
      <c r="G9" s="64"/>
      <c r="H9" s="64">
        <f>E9</f>
        <v>16497.41</v>
      </c>
    </row>
    <row r="10" spans="1:9" x14ac:dyDescent="0.2">
      <c r="A10" s="59" t="s">
        <v>211</v>
      </c>
      <c r="B10" s="66">
        <v>45579</v>
      </c>
      <c r="C10" s="61" t="s">
        <v>212</v>
      </c>
      <c r="D10" s="63"/>
      <c r="E10" s="63">
        <f t="shared" ref="E10:E21" si="0">E9+D10</f>
        <v>16497.41</v>
      </c>
      <c r="F10" s="258">
        <v>451.24</v>
      </c>
      <c r="G10" s="64">
        <f t="shared" ref="G10:G21" si="1">G9+F10</f>
        <v>451.24</v>
      </c>
      <c r="H10" s="64">
        <f t="shared" ref="H10:H21" si="2">H9-F10+D10</f>
        <v>16046.17</v>
      </c>
    </row>
    <row r="11" spans="1:9" x14ac:dyDescent="0.2">
      <c r="A11" s="59" t="s">
        <v>293</v>
      </c>
      <c r="B11" s="60">
        <v>45610</v>
      </c>
      <c r="C11" s="61" t="s">
        <v>294</v>
      </c>
      <c r="D11" s="63"/>
      <c r="E11" s="63">
        <f t="shared" si="0"/>
        <v>16497.41</v>
      </c>
      <c r="F11" s="258">
        <v>2489.89</v>
      </c>
      <c r="G11" s="64">
        <f t="shared" si="1"/>
        <v>2941.13</v>
      </c>
      <c r="H11" s="64">
        <f t="shared" si="2"/>
        <v>13556.28</v>
      </c>
    </row>
    <row r="12" spans="1:9" x14ac:dyDescent="0.2">
      <c r="A12" s="59" t="s">
        <v>361</v>
      </c>
      <c r="B12" s="60">
        <v>45644</v>
      </c>
      <c r="C12" s="61" t="s">
        <v>362</v>
      </c>
      <c r="D12" s="63"/>
      <c r="E12" s="63">
        <f t="shared" si="0"/>
        <v>16497.41</v>
      </c>
      <c r="F12" s="258">
        <v>2689.03</v>
      </c>
      <c r="G12" s="64">
        <f t="shared" si="1"/>
        <v>5630.16</v>
      </c>
      <c r="H12" s="64">
        <f t="shared" si="2"/>
        <v>10867.25</v>
      </c>
    </row>
    <row r="13" spans="1:9" x14ac:dyDescent="0.2">
      <c r="A13" s="59"/>
      <c r="B13" s="60"/>
      <c r="C13" s="61"/>
      <c r="D13" s="63"/>
      <c r="E13" s="63">
        <f t="shared" si="0"/>
        <v>16497.41</v>
      </c>
      <c r="F13" s="67"/>
      <c r="G13" s="64">
        <f t="shared" si="1"/>
        <v>5630.16</v>
      </c>
      <c r="H13" s="64">
        <f t="shared" si="2"/>
        <v>10867.25</v>
      </c>
    </row>
    <row r="14" spans="1:9" x14ac:dyDescent="0.2">
      <c r="A14" s="59"/>
      <c r="B14" s="60"/>
      <c r="C14" s="61"/>
      <c r="D14" s="63"/>
      <c r="E14" s="63">
        <f t="shared" si="0"/>
        <v>16497.41</v>
      </c>
      <c r="F14" s="64"/>
      <c r="G14" s="64">
        <f t="shared" si="1"/>
        <v>5630.16</v>
      </c>
      <c r="H14" s="64">
        <f t="shared" si="2"/>
        <v>10867.25</v>
      </c>
    </row>
    <row r="15" spans="1:9" x14ac:dyDescent="0.2">
      <c r="A15" s="59"/>
      <c r="B15" s="60"/>
      <c r="C15" s="61"/>
      <c r="D15" s="63"/>
      <c r="E15" s="63">
        <f t="shared" si="0"/>
        <v>16497.41</v>
      </c>
      <c r="F15" s="67"/>
      <c r="G15" s="64">
        <f t="shared" si="1"/>
        <v>5630.16</v>
      </c>
      <c r="H15" s="64">
        <f t="shared" si="2"/>
        <v>10867.25</v>
      </c>
    </row>
    <row r="16" spans="1:9" x14ac:dyDescent="0.2">
      <c r="A16" s="59"/>
      <c r="B16" s="60"/>
      <c r="C16" s="61"/>
      <c r="D16" s="63"/>
      <c r="E16" s="63">
        <f t="shared" si="0"/>
        <v>16497.41</v>
      </c>
      <c r="F16" s="67"/>
      <c r="G16" s="64">
        <f t="shared" si="1"/>
        <v>5630.16</v>
      </c>
      <c r="H16" s="64">
        <f t="shared" si="2"/>
        <v>10867.25</v>
      </c>
    </row>
    <row r="17" spans="1:8" x14ac:dyDescent="0.2">
      <c r="A17" s="59"/>
      <c r="B17" s="60"/>
      <c r="C17" s="61"/>
      <c r="D17" s="63"/>
      <c r="E17" s="63">
        <f t="shared" si="0"/>
        <v>16497.41</v>
      </c>
      <c r="F17" s="67"/>
      <c r="G17" s="64">
        <f t="shared" si="1"/>
        <v>5630.16</v>
      </c>
      <c r="H17" s="64">
        <f t="shared" si="2"/>
        <v>10867.25</v>
      </c>
    </row>
    <row r="18" spans="1:8" x14ac:dyDescent="0.2">
      <c r="A18" s="59"/>
      <c r="B18" s="60"/>
      <c r="C18" s="61"/>
      <c r="D18" s="63"/>
      <c r="E18" s="63">
        <f t="shared" si="0"/>
        <v>16497.41</v>
      </c>
      <c r="F18" s="67"/>
      <c r="G18" s="64">
        <f t="shared" si="1"/>
        <v>5630.16</v>
      </c>
      <c r="H18" s="64">
        <f t="shared" si="2"/>
        <v>10867.25</v>
      </c>
    </row>
    <row r="19" spans="1:8" x14ac:dyDescent="0.2">
      <c r="A19" s="59"/>
      <c r="B19" s="60"/>
      <c r="C19" s="61"/>
      <c r="D19" s="63"/>
      <c r="E19" s="63">
        <f t="shared" si="0"/>
        <v>16497.41</v>
      </c>
      <c r="F19" s="64"/>
      <c r="G19" s="64">
        <f t="shared" si="1"/>
        <v>5630.16</v>
      </c>
      <c r="H19" s="64">
        <f t="shared" si="2"/>
        <v>10867.25</v>
      </c>
    </row>
    <row r="20" spans="1:8" x14ac:dyDescent="0.2">
      <c r="A20" s="59"/>
      <c r="B20" s="60"/>
      <c r="C20" s="61"/>
      <c r="D20" s="63"/>
      <c r="E20" s="63">
        <f t="shared" si="0"/>
        <v>16497.41</v>
      </c>
      <c r="F20" s="64"/>
      <c r="G20" s="64">
        <f t="shared" si="1"/>
        <v>5630.16</v>
      </c>
      <c r="H20" s="64">
        <f t="shared" si="2"/>
        <v>10867.25</v>
      </c>
    </row>
    <row r="21" spans="1:8" x14ac:dyDescent="0.2">
      <c r="A21" s="59"/>
      <c r="B21" s="60"/>
      <c r="C21" s="68"/>
      <c r="D21" s="63"/>
      <c r="E21" s="63">
        <f t="shared" si="0"/>
        <v>16497.41</v>
      </c>
      <c r="F21" s="64"/>
      <c r="G21" s="64">
        <f t="shared" si="1"/>
        <v>5630.16</v>
      </c>
      <c r="H21" s="64">
        <f t="shared" si="2"/>
        <v>10867.25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16497.41</v>
      </c>
      <c r="E23" s="72"/>
      <c r="F23" s="72">
        <f>SUM(F9:F22)</f>
        <v>5630.16</v>
      </c>
      <c r="G23" s="72"/>
      <c r="H23" s="72">
        <f>D23-F23</f>
        <v>10867.25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16097.41</v>
      </c>
      <c r="E26" s="252"/>
      <c r="F26" s="252">
        <f>451.24+2409.89+2529.03</f>
        <v>5390.16</v>
      </c>
      <c r="G26" s="252"/>
      <c r="H26" s="252">
        <f>D26-F26</f>
        <v>10707.25</v>
      </c>
    </row>
    <row r="27" spans="1:8" x14ac:dyDescent="0.2">
      <c r="A27" s="73"/>
      <c r="B27" s="61"/>
      <c r="C27" s="251" t="s">
        <v>173</v>
      </c>
      <c r="D27" s="252">
        <v>400</v>
      </c>
      <c r="E27" s="252"/>
      <c r="F27" s="252">
        <f>80+160</f>
        <v>240</v>
      </c>
      <c r="G27" s="252"/>
      <c r="H27" s="252">
        <f>D27-F27</f>
        <v>160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16497.41</v>
      </c>
      <c r="E28" s="255"/>
      <c r="F28" s="254">
        <f>SUM(F26:F27)</f>
        <v>5630.16</v>
      </c>
      <c r="G28" s="255"/>
      <c r="H28" s="254">
        <f>SUM(H26:H27)</f>
        <v>10867.25</v>
      </c>
    </row>
    <row r="29" spans="1:8" ht="15" customHeight="1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9:I27">
    <cfRule type="cellIs" dxfId="7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J627"/>
  <sheetViews>
    <sheetView zoomScaleNormal="100" workbookViewId="0">
      <selection activeCell="M22" sqref="M21:M22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140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#9459.00'!B1</f>
        <v>HHS STS A.E. Sheperd AC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#9459.00'!B2</f>
        <v>Project # 9459.00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#9459.00'!B3</f>
        <v>Program code 945900</v>
      </c>
      <c r="B3" s="5"/>
      <c r="C3" s="5"/>
      <c r="D3" s="4"/>
      <c r="E3" s="8" t="str">
        <f>'RECAP #9459.00'!E3</f>
        <v>Major Program 4F03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164</v>
      </c>
      <c r="F6" s="50"/>
      <c r="G6" s="51"/>
      <c r="H6" s="47"/>
      <c r="I6" s="42"/>
    </row>
    <row r="7" spans="1:10" s="35" customFormat="1" ht="15.75" x14ac:dyDescent="0.25">
      <c r="A7" s="13" t="str">
        <f>'RECAP #9459.00'!B6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7200</v>
      </c>
      <c r="F9" s="63">
        <f>E9</f>
        <v>7200</v>
      </c>
      <c r="G9" s="64"/>
      <c r="H9" s="64"/>
      <c r="I9" s="64">
        <f>F9</f>
        <v>7200</v>
      </c>
    </row>
    <row r="10" spans="1:10" x14ac:dyDescent="0.2">
      <c r="A10" s="257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1" si="0">F9+E10</f>
        <v>7200</v>
      </c>
      <c r="G10" s="258">
        <f>26.67+11.22</f>
        <v>37.89</v>
      </c>
      <c r="H10" s="64">
        <f t="shared" ref="H10:H21" si="1">H9+G10</f>
        <v>37.89</v>
      </c>
      <c r="I10" s="64">
        <f t="shared" ref="I10:I21" si="2">I9-G10+E10</f>
        <v>7162.11</v>
      </c>
    </row>
    <row r="11" spans="1:10" x14ac:dyDescent="0.2">
      <c r="A11" s="257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7200</v>
      </c>
      <c r="G11" s="258">
        <f>14+180.4</f>
        <v>194.4</v>
      </c>
      <c r="H11" s="64">
        <f t="shared" si="1"/>
        <v>232.29000000000002</v>
      </c>
      <c r="I11" s="64">
        <f t="shared" si="2"/>
        <v>6967.71</v>
      </c>
    </row>
    <row r="12" spans="1:10" x14ac:dyDescent="0.2">
      <c r="A12" s="257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7200</v>
      </c>
      <c r="G12" s="258">
        <f>86.78+31.55</f>
        <v>118.33</v>
      </c>
      <c r="H12" s="64">
        <f t="shared" si="1"/>
        <v>350.62</v>
      </c>
      <c r="I12" s="64">
        <f t="shared" si="2"/>
        <v>6849.38</v>
      </c>
    </row>
    <row r="13" spans="1:10" x14ac:dyDescent="0.2">
      <c r="A13" s="257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7200</v>
      </c>
      <c r="G13" s="258">
        <f>68+983.4</f>
        <v>1051.4000000000001</v>
      </c>
      <c r="H13" s="64">
        <f t="shared" si="1"/>
        <v>1402.02</v>
      </c>
      <c r="I13" s="64">
        <f t="shared" si="2"/>
        <v>5797.98</v>
      </c>
    </row>
    <row r="14" spans="1:10" x14ac:dyDescent="0.2">
      <c r="A14" s="257" t="s">
        <v>268</v>
      </c>
      <c r="B14" s="60">
        <v>45603</v>
      </c>
      <c r="C14" s="246">
        <v>2507</v>
      </c>
      <c r="D14" s="83" t="s">
        <v>269</v>
      </c>
      <c r="E14" s="63"/>
      <c r="F14" s="63">
        <f t="shared" si="0"/>
        <v>7200</v>
      </c>
      <c r="G14" s="258">
        <f>69.42+140.94</f>
        <v>210.36</v>
      </c>
      <c r="H14" s="64">
        <f t="shared" si="1"/>
        <v>1612.38</v>
      </c>
      <c r="I14" s="64">
        <f t="shared" si="2"/>
        <v>5587.62</v>
      </c>
    </row>
    <row r="15" spans="1:10" x14ac:dyDescent="0.2">
      <c r="A15" s="257" t="s">
        <v>268</v>
      </c>
      <c r="B15" s="60">
        <v>45603</v>
      </c>
      <c r="C15" s="246">
        <v>9500</v>
      </c>
      <c r="D15" s="83" t="s">
        <v>270</v>
      </c>
      <c r="E15" s="63"/>
      <c r="F15" s="63">
        <f t="shared" si="0"/>
        <v>7200</v>
      </c>
      <c r="G15" s="258">
        <f>108+1296.9</f>
        <v>1404.9</v>
      </c>
      <c r="H15" s="64">
        <f t="shared" si="1"/>
        <v>3017.28</v>
      </c>
      <c r="I15" s="64">
        <f t="shared" si="2"/>
        <v>4182.7199999999993</v>
      </c>
    </row>
    <row r="16" spans="1:10" x14ac:dyDescent="0.2">
      <c r="A16" s="257" t="s">
        <v>345</v>
      </c>
      <c r="B16" s="275">
        <v>45635</v>
      </c>
      <c r="C16" s="276">
        <v>2507</v>
      </c>
      <c r="D16" s="277" t="s">
        <v>346</v>
      </c>
      <c r="E16" s="63"/>
      <c r="F16" s="63">
        <f t="shared" si="0"/>
        <v>7200</v>
      </c>
      <c r="G16" s="258">
        <f>80.43+145.15</f>
        <v>225.58</v>
      </c>
      <c r="H16" s="64">
        <f t="shared" si="1"/>
        <v>3242.86</v>
      </c>
      <c r="I16" s="64">
        <f t="shared" si="2"/>
        <v>3957.1399999999994</v>
      </c>
    </row>
    <row r="17" spans="1:9" x14ac:dyDescent="0.2">
      <c r="A17" s="257" t="s">
        <v>345</v>
      </c>
      <c r="B17" s="275">
        <v>45635</v>
      </c>
      <c r="C17" s="276">
        <v>9500</v>
      </c>
      <c r="D17" s="278" t="s">
        <v>347</v>
      </c>
      <c r="E17" s="63"/>
      <c r="F17" s="63">
        <f t="shared" si="0"/>
        <v>7200</v>
      </c>
      <c r="G17" s="258">
        <f>100+1398.1</f>
        <v>1498.1</v>
      </c>
      <c r="H17" s="64">
        <f t="shared" si="1"/>
        <v>4740.96</v>
      </c>
      <c r="I17" s="64">
        <f t="shared" si="2"/>
        <v>2459.0399999999995</v>
      </c>
    </row>
    <row r="18" spans="1:9" x14ac:dyDescent="0.2">
      <c r="A18" s="85"/>
      <c r="B18" s="60"/>
      <c r="C18" s="60"/>
      <c r="D18" s="83"/>
      <c r="E18" s="63"/>
      <c r="F18" s="63">
        <f t="shared" si="0"/>
        <v>7200</v>
      </c>
      <c r="G18" s="67"/>
      <c r="H18" s="64">
        <f t="shared" si="1"/>
        <v>4740.96</v>
      </c>
      <c r="I18" s="64">
        <f t="shared" si="2"/>
        <v>2459.0399999999995</v>
      </c>
    </row>
    <row r="19" spans="1:9" x14ac:dyDescent="0.2">
      <c r="A19" s="82"/>
      <c r="B19" s="60"/>
      <c r="C19" s="60"/>
      <c r="D19" s="83"/>
      <c r="E19" s="63"/>
      <c r="F19" s="63">
        <f t="shared" si="0"/>
        <v>7200</v>
      </c>
      <c r="G19" s="64"/>
      <c r="H19" s="64">
        <f t="shared" si="1"/>
        <v>4740.96</v>
      </c>
      <c r="I19" s="64">
        <f t="shared" si="2"/>
        <v>2459.0399999999995</v>
      </c>
    </row>
    <row r="20" spans="1:9" x14ac:dyDescent="0.2">
      <c r="A20" s="82"/>
      <c r="B20" s="60"/>
      <c r="C20" s="60"/>
      <c r="D20" s="83"/>
      <c r="E20" s="63"/>
      <c r="F20" s="63">
        <f t="shared" si="0"/>
        <v>7200</v>
      </c>
      <c r="G20" s="64"/>
      <c r="H20" s="64">
        <f t="shared" si="1"/>
        <v>4740.96</v>
      </c>
      <c r="I20" s="64">
        <f t="shared" si="2"/>
        <v>2459.0399999999995</v>
      </c>
    </row>
    <row r="21" spans="1:9" x14ac:dyDescent="0.2">
      <c r="A21" s="82"/>
      <c r="B21" s="60"/>
      <c r="C21" s="60"/>
      <c r="D21" s="86"/>
      <c r="E21" s="63"/>
      <c r="F21" s="63">
        <f t="shared" si="0"/>
        <v>7200</v>
      </c>
      <c r="G21" s="64"/>
      <c r="H21" s="64">
        <f t="shared" si="1"/>
        <v>4740.96</v>
      </c>
      <c r="I21" s="64">
        <f t="shared" si="2"/>
        <v>2459.0399999999995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7200</v>
      </c>
      <c r="F23" s="72"/>
      <c r="G23" s="72">
        <f>SUM(G9:G22)</f>
        <v>4740.96</v>
      </c>
      <c r="H23" s="72"/>
      <c r="I23" s="72">
        <f>E23-G23</f>
        <v>2459.04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247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#9459.00'!B1</f>
        <v>HHS STS A.E. Sheperd AC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#9459.00'!B2</f>
        <v>Project # 9459.00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#9459.00'!B3</f>
        <v>Program code 945900</v>
      </c>
      <c r="E3" s="8" t="str">
        <f>'RECAP #9459.00'!E3</f>
        <v>Major Program 4F03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256" t="s">
        <v>181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#9459.00'!B6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IV627"/>
  <sheetViews>
    <sheetView zoomScaleNormal="100" workbookViewId="0">
      <selection activeCell="J8" sqref="J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6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85546875" style="65" customWidth="1"/>
    <col min="9" max="16384" width="11.42578125" style="65"/>
  </cols>
  <sheetData>
    <row r="1" spans="1:9" s="35" customFormat="1" ht="24.75" customHeight="1" x14ac:dyDescent="0.25">
      <c r="A1" s="2" t="str">
        <f>'RECAP #9459.00'!B1</f>
        <v>HHS STS A.E. Sheperd AC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#9459.00'!B2</f>
        <v>Project # 9459.00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#9459.00'!B3</f>
        <v>Program code 945900</v>
      </c>
      <c r="B3" s="5"/>
      <c r="C3" s="4"/>
      <c r="D3" s="8" t="str">
        <f>'RECAP #9459.00'!E3</f>
        <v>Major Program 4F03</v>
      </c>
      <c r="E3" s="4"/>
      <c r="F3" s="34"/>
      <c r="G3" s="34"/>
    </row>
    <row r="4" spans="1:9" s="35" customFormat="1" ht="15.75" x14ac:dyDescent="0.25">
      <c r="A4" s="36" t="s">
        <v>227</v>
      </c>
      <c r="B4" s="37"/>
      <c r="C4" s="38"/>
      <c r="D4" s="39" t="s">
        <v>230</v>
      </c>
      <c r="E4" s="40"/>
      <c r="F4" s="34"/>
      <c r="G4" s="34"/>
    </row>
    <row r="5" spans="1:9" s="35" customFormat="1" ht="15.75" x14ac:dyDescent="0.25">
      <c r="A5" s="41" t="s">
        <v>229</v>
      </c>
      <c r="B5" s="42"/>
      <c r="C5" s="43"/>
      <c r="D5" s="44" t="s">
        <v>231</v>
      </c>
      <c r="E5" s="45"/>
      <c r="F5" s="46"/>
      <c r="G5" s="47"/>
      <c r="H5" s="42"/>
    </row>
    <row r="6" spans="1:9" s="35" customFormat="1" ht="15.75" x14ac:dyDescent="0.25">
      <c r="A6" s="13" t="str">
        <f>'RECAP #9459.00'!B6</f>
        <v>Project Manager - Jennifer K.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228</v>
      </c>
      <c r="B9" s="60">
        <v>45601</v>
      </c>
      <c r="C9" s="61" t="s">
        <v>167</v>
      </c>
      <c r="D9" s="247">
        <v>20564</v>
      </c>
      <c r="E9" s="63">
        <f>D9</f>
        <v>20564</v>
      </c>
      <c r="F9" s="64"/>
      <c r="G9" s="64"/>
      <c r="H9" s="64">
        <f>E9</f>
        <v>20564</v>
      </c>
    </row>
    <row r="10" spans="1:9" x14ac:dyDescent="0.2">
      <c r="A10" s="59"/>
      <c r="B10" s="66"/>
      <c r="C10" s="61"/>
      <c r="D10" s="63"/>
      <c r="E10" s="63">
        <f t="shared" ref="E10:E21" si="0">E9+D10</f>
        <v>20564</v>
      </c>
      <c r="F10" s="258"/>
      <c r="G10" s="64">
        <f t="shared" ref="G10:G21" si="1">G9+F10</f>
        <v>0</v>
      </c>
      <c r="H10" s="64">
        <f t="shared" ref="H10:H21" si="2">H9-F10+D10</f>
        <v>20564</v>
      </c>
    </row>
    <row r="11" spans="1:9" x14ac:dyDescent="0.2">
      <c r="A11" s="59"/>
      <c r="B11" s="60"/>
      <c r="C11" s="61"/>
      <c r="D11" s="63"/>
      <c r="E11" s="63">
        <f t="shared" si="0"/>
        <v>20564</v>
      </c>
      <c r="F11" s="67"/>
      <c r="G11" s="64">
        <f t="shared" si="1"/>
        <v>0</v>
      </c>
      <c r="H11" s="64">
        <f t="shared" si="2"/>
        <v>20564</v>
      </c>
    </row>
    <row r="12" spans="1:9" x14ac:dyDescent="0.2">
      <c r="A12" s="59"/>
      <c r="B12" s="60"/>
      <c r="C12" s="61"/>
      <c r="D12" s="63"/>
      <c r="E12" s="63">
        <f t="shared" si="0"/>
        <v>20564</v>
      </c>
      <c r="F12" s="67"/>
      <c r="G12" s="64">
        <f t="shared" si="1"/>
        <v>0</v>
      </c>
      <c r="H12" s="64">
        <f t="shared" si="2"/>
        <v>20564</v>
      </c>
    </row>
    <row r="13" spans="1:9" x14ac:dyDescent="0.2">
      <c r="A13" s="59"/>
      <c r="B13" s="60"/>
      <c r="C13" s="61"/>
      <c r="D13" s="63"/>
      <c r="E13" s="63">
        <f t="shared" si="0"/>
        <v>20564</v>
      </c>
      <c r="F13" s="67"/>
      <c r="G13" s="64">
        <f t="shared" si="1"/>
        <v>0</v>
      </c>
      <c r="H13" s="64">
        <f t="shared" si="2"/>
        <v>20564</v>
      </c>
    </row>
    <row r="14" spans="1:9" x14ac:dyDescent="0.2">
      <c r="A14" s="59"/>
      <c r="B14" s="60"/>
      <c r="C14" s="61"/>
      <c r="D14" s="63"/>
      <c r="E14" s="63">
        <f t="shared" si="0"/>
        <v>20564</v>
      </c>
      <c r="F14" s="64"/>
      <c r="G14" s="64">
        <f t="shared" si="1"/>
        <v>0</v>
      </c>
      <c r="H14" s="64">
        <f t="shared" si="2"/>
        <v>20564</v>
      </c>
    </row>
    <row r="15" spans="1:9" x14ac:dyDescent="0.2">
      <c r="A15" s="59"/>
      <c r="B15" s="60"/>
      <c r="C15" s="61"/>
      <c r="D15" s="63"/>
      <c r="E15" s="63">
        <f t="shared" si="0"/>
        <v>20564</v>
      </c>
      <c r="F15" s="67"/>
      <c r="G15" s="64">
        <f t="shared" si="1"/>
        <v>0</v>
      </c>
      <c r="H15" s="64">
        <f t="shared" si="2"/>
        <v>20564</v>
      </c>
    </row>
    <row r="16" spans="1:9" x14ac:dyDescent="0.2">
      <c r="A16" s="59"/>
      <c r="B16" s="60"/>
      <c r="C16" s="61"/>
      <c r="D16" s="63"/>
      <c r="E16" s="63">
        <f t="shared" si="0"/>
        <v>20564</v>
      </c>
      <c r="F16" s="67"/>
      <c r="G16" s="64">
        <f t="shared" si="1"/>
        <v>0</v>
      </c>
      <c r="H16" s="64">
        <f t="shared" si="2"/>
        <v>20564</v>
      </c>
    </row>
    <row r="17" spans="1:8" x14ac:dyDescent="0.2">
      <c r="A17" s="59"/>
      <c r="B17" s="60"/>
      <c r="C17" s="61"/>
      <c r="D17" s="63"/>
      <c r="E17" s="63">
        <f t="shared" si="0"/>
        <v>20564</v>
      </c>
      <c r="F17" s="67"/>
      <c r="G17" s="64">
        <f t="shared" si="1"/>
        <v>0</v>
      </c>
      <c r="H17" s="64">
        <f t="shared" si="2"/>
        <v>20564</v>
      </c>
    </row>
    <row r="18" spans="1:8" x14ac:dyDescent="0.2">
      <c r="A18" s="59"/>
      <c r="B18" s="60"/>
      <c r="C18" s="61"/>
      <c r="D18" s="63"/>
      <c r="E18" s="63">
        <f t="shared" si="0"/>
        <v>20564</v>
      </c>
      <c r="F18" s="67"/>
      <c r="G18" s="64">
        <f t="shared" si="1"/>
        <v>0</v>
      </c>
      <c r="H18" s="64">
        <f t="shared" si="2"/>
        <v>20564</v>
      </c>
    </row>
    <row r="19" spans="1:8" x14ac:dyDescent="0.2">
      <c r="A19" s="59"/>
      <c r="B19" s="60"/>
      <c r="C19" s="61"/>
      <c r="D19" s="63"/>
      <c r="E19" s="63">
        <f t="shared" si="0"/>
        <v>20564</v>
      </c>
      <c r="F19" s="64"/>
      <c r="G19" s="64">
        <f t="shared" si="1"/>
        <v>0</v>
      </c>
      <c r="H19" s="64">
        <f t="shared" si="2"/>
        <v>20564</v>
      </c>
    </row>
    <row r="20" spans="1:8" x14ac:dyDescent="0.2">
      <c r="A20" s="59"/>
      <c r="B20" s="60"/>
      <c r="C20" s="61"/>
      <c r="D20" s="63"/>
      <c r="E20" s="63">
        <f t="shared" si="0"/>
        <v>20564</v>
      </c>
      <c r="F20" s="64"/>
      <c r="G20" s="64">
        <f t="shared" si="1"/>
        <v>0</v>
      </c>
      <c r="H20" s="64">
        <f t="shared" si="2"/>
        <v>20564</v>
      </c>
    </row>
    <row r="21" spans="1:8" x14ac:dyDescent="0.2">
      <c r="A21" s="59"/>
      <c r="B21" s="60"/>
      <c r="C21" s="68"/>
      <c r="D21" s="63"/>
      <c r="E21" s="63">
        <f t="shared" si="0"/>
        <v>20564</v>
      </c>
      <c r="F21" s="64"/>
      <c r="G21" s="64">
        <f t="shared" si="1"/>
        <v>0</v>
      </c>
      <c r="H21" s="64">
        <f t="shared" si="2"/>
        <v>20564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20564</v>
      </c>
      <c r="E23" s="72"/>
      <c r="F23" s="72">
        <f>SUM(F9:F22)</f>
        <v>0</v>
      </c>
      <c r="G23" s="72"/>
      <c r="H23" s="72">
        <f>D23-F23</f>
        <v>20564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206</v>
      </c>
      <c r="D26" s="252">
        <v>13036</v>
      </c>
      <c r="E26" s="252"/>
      <c r="F26" s="252"/>
      <c r="G26" s="252"/>
      <c r="H26" s="252">
        <f>D26-F26</f>
        <v>13036</v>
      </c>
    </row>
    <row r="27" spans="1:8" x14ac:dyDescent="0.2">
      <c r="A27" s="73"/>
      <c r="B27" s="61"/>
      <c r="C27" s="251" t="s">
        <v>232</v>
      </c>
      <c r="D27" s="252">
        <v>1088</v>
      </c>
      <c r="E27" s="252"/>
      <c r="F27" s="252"/>
      <c r="G27" s="252"/>
      <c r="H27" s="252">
        <f>D27-F27</f>
        <v>1088</v>
      </c>
    </row>
    <row r="28" spans="1:8" x14ac:dyDescent="0.2">
      <c r="A28" s="73"/>
      <c r="B28" s="61"/>
      <c r="C28" s="251" t="s">
        <v>208</v>
      </c>
      <c r="D28" s="252">
        <v>6440</v>
      </c>
      <c r="E28" s="252"/>
      <c r="F28" s="252"/>
      <c r="G28" s="252"/>
      <c r="H28" s="252">
        <f>D28-F28</f>
        <v>6440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20564</v>
      </c>
      <c r="E29" s="255"/>
      <c r="F29" s="254">
        <f>SUM(F26:F28)</f>
        <v>0</v>
      </c>
      <c r="G29" s="255"/>
      <c r="H29" s="254">
        <f>SUM(H26:H28)</f>
        <v>20564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s="80" customFormat="1" x14ac:dyDescent="0.2">
      <c r="A50" s="76"/>
      <c r="B50" s="77"/>
      <c r="C50" s="78"/>
      <c r="D50" s="65"/>
      <c r="E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s="80" customFormat="1" x14ac:dyDescent="0.2">
      <c r="A51" s="76"/>
      <c r="B51" s="77"/>
      <c r="C51" s="78"/>
      <c r="D51" s="65"/>
      <c r="E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</sheetData>
  <conditionalFormatting sqref="I9:I28">
    <cfRule type="cellIs" dxfId="6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H25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121</v>
      </c>
      <c r="C1" s="3"/>
    </row>
    <row r="2" spans="1:8" ht="15.75" x14ac:dyDescent="0.25">
      <c r="B2" s="6" t="s">
        <v>152</v>
      </c>
    </row>
    <row r="3" spans="1:8" ht="15.75" x14ac:dyDescent="0.25">
      <c r="B3" s="7" t="s">
        <v>153</v>
      </c>
      <c r="E3" s="8" t="s">
        <v>144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154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FINANCIAL!G35</f>
        <v>2355000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223</v>
      </c>
      <c r="C10" s="26"/>
      <c r="D10" s="24">
        <f>'#9460.00 Boyd Jones'!D23</f>
        <v>21740.560000000001</v>
      </c>
      <c r="E10" s="24">
        <f>'#9460.00 Boyd Jones'!F23</f>
        <v>7601.4400000000005</v>
      </c>
      <c r="F10" s="24">
        <f>'#9460.00 Boyd Jones'!H23</f>
        <v>14139.12</v>
      </c>
      <c r="G10" s="25"/>
      <c r="H10" s="17"/>
    </row>
    <row r="11" spans="1:8" x14ac:dyDescent="0.2">
      <c r="B11" s="5" t="s">
        <v>14</v>
      </c>
      <c r="C11" s="26"/>
      <c r="D11" s="24">
        <f>'#9460.00 PM TIME'!E23</f>
        <v>35000</v>
      </c>
      <c r="E11" s="24">
        <f>'#9460.00 PM TIME'!G23</f>
        <v>4539.49</v>
      </c>
      <c r="F11" s="24">
        <f>'#9460.00 PM TIME'!I23</f>
        <v>30460.510000000002</v>
      </c>
      <c r="G11" s="25"/>
      <c r="H11" s="17"/>
    </row>
    <row r="12" spans="1:8" x14ac:dyDescent="0.2">
      <c r="B12" s="5" t="s">
        <v>15</v>
      </c>
      <c r="C12" s="27"/>
      <c r="D12" s="28">
        <f>'#9460.00 Misc'!G22</f>
        <v>0</v>
      </c>
      <c r="E12" s="28">
        <f>'#9460.00 Misc'!G22</f>
        <v>0</v>
      </c>
      <c r="F12" s="24">
        <f>D12-E12</f>
        <v>0</v>
      </c>
      <c r="G12" s="25"/>
      <c r="H12" s="17"/>
    </row>
    <row r="13" spans="1:8" x14ac:dyDescent="0.2">
      <c r="B13" s="5" t="s">
        <v>312</v>
      </c>
      <c r="C13" s="27"/>
      <c r="D13" s="28">
        <f>'#9460.00 Genesis Architectural'!D23</f>
        <v>19400</v>
      </c>
      <c r="E13" s="28">
        <f>'#9460.00 Genesis Architectural'!F23</f>
        <v>0</v>
      </c>
      <c r="F13" s="24">
        <f>'#9460.00 Genesis Architectural'!H23</f>
        <v>19400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2355000</v>
      </c>
      <c r="D15" s="32">
        <f>SUM(D8:D14)</f>
        <v>76140.56</v>
      </c>
      <c r="E15" s="32">
        <f>SUM(E8:E14)</f>
        <v>12140.93</v>
      </c>
      <c r="F15" s="32">
        <f>SUM(D15-E15)</f>
        <v>63999.63</v>
      </c>
      <c r="G15" s="32">
        <f>C15-D15</f>
        <v>2278859.44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I627"/>
  <sheetViews>
    <sheetView zoomScaleNormal="100" workbookViewId="0">
      <selection activeCell="R31" sqref="R31:R3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#9460.00'!B1</f>
        <v>DOC NCF LU B, C &amp; D Roof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#9460.00'!B2</f>
        <v>Project # 9460.00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#9460.00'!B3</f>
        <v>Program code 946000</v>
      </c>
      <c r="B3" s="5"/>
      <c r="C3" s="4"/>
      <c r="D3" s="8" t="str">
        <f>'RECAP #9460.00'!E3</f>
        <v>Major Program 4E02</v>
      </c>
      <c r="E3" s="4"/>
      <c r="F3" s="34"/>
      <c r="G3" s="34"/>
    </row>
    <row r="4" spans="1:9" s="35" customFormat="1" ht="15.75" x14ac:dyDescent="0.25">
      <c r="A4" s="36" t="s">
        <v>223</v>
      </c>
      <c r="B4" s="37"/>
      <c r="C4" s="38"/>
      <c r="D4" s="39" t="s">
        <v>224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225</v>
      </c>
      <c r="E5" s="45"/>
      <c r="F5" s="46"/>
      <c r="G5" s="47"/>
      <c r="H5" s="42"/>
    </row>
    <row r="6" spans="1:9" s="35" customFormat="1" ht="15.75" x14ac:dyDescent="0.25">
      <c r="A6" s="13" t="str">
        <f>'RECAP #9460.00'!B6</f>
        <v>Project Manager - Brad T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226</v>
      </c>
      <c r="B9" s="60">
        <v>45601</v>
      </c>
      <c r="C9" s="61" t="s">
        <v>167</v>
      </c>
      <c r="D9" s="247">
        <v>21740.560000000001</v>
      </c>
      <c r="E9" s="63">
        <f>D9</f>
        <v>21740.560000000001</v>
      </c>
      <c r="F9" s="64"/>
      <c r="G9" s="64"/>
      <c r="H9" s="64">
        <f>E9</f>
        <v>21740.560000000001</v>
      </c>
    </row>
    <row r="10" spans="1:9" x14ac:dyDescent="0.2">
      <c r="A10" s="59" t="s">
        <v>250</v>
      </c>
      <c r="B10" s="66">
        <v>45602</v>
      </c>
      <c r="C10" s="61" t="s">
        <v>251</v>
      </c>
      <c r="D10" s="63"/>
      <c r="E10" s="63">
        <f t="shared" ref="E10:E21" si="0">E9+D10</f>
        <v>21740.560000000001</v>
      </c>
      <c r="F10" s="258">
        <v>4662.66</v>
      </c>
      <c r="G10" s="64">
        <f t="shared" ref="G10:G21" si="1">G9+F10</f>
        <v>4662.66</v>
      </c>
      <c r="H10" s="64">
        <f t="shared" ref="H10:H21" si="2">H9-F10+D10</f>
        <v>17077.900000000001</v>
      </c>
    </row>
    <row r="11" spans="1:9" x14ac:dyDescent="0.2">
      <c r="A11" s="59" t="s">
        <v>352</v>
      </c>
      <c r="B11" s="60">
        <v>45639</v>
      </c>
      <c r="C11" s="61" t="s">
        <v>353</v>
      </c>
      <c r="D11" s="63"/>
      <c r="E11" s="63">
        <f t="shared" si="0"/>
        <v>21740.560000000001</v>
      </c>
      <c r="F11" s="258">
        <v>2938.78</v>
      </c>
      <c r="G11" s="64">
        <f t="shared" si="1"/>
        <v>7601.4400000000005</v>
      </c>
      <c r="H11" s="64">
        <f t="shared" si="2"/>
        <v>14139.12</v>
      </c>
    </row>
    <row r="12" spans="1:9" x14ac:dyDescent="0.2">
      <c r="A12" s="59"/>
      <c r="B12" s="60"/>
      <c r="C12" s="61"/>
      <c r="D12" s="63"/>
      <c r="E12" s="63">
        <f t="shared" si="0"/>
        <v>21740.560000000001</v>
      </c>
      <c r="F12" s="67"/>
      <c r="G12" s="64">
        <f t="shared" si="1"/>
        <v>7601.4400000000005</v>
      </c>
      <c r="H12" s="64">
        <f t="shared" si="2"/>
        <v>14139.12</v>
      </c>
    </row>
    <row r="13" spans="1:9" x14ac:dyDescent="0.2">
      <c r="A13" s="59"/>
      <c r="B13" s="60"/>
      <c r="C13" s="61"/>
      <c r="D13" s="63"/>
      <c r="E13" s="63">
        <f t="shared" si="0"/>
        <v>21740.560000000001</v>
      </c>
      <c r="F13" s="67"/>
      <c r="G13" s="64">
        <f t="shared" si="1"/>
        <v>7601.4400000000005</v>
      </c>
      <c r="H13" s="64">
        <f t="shared" si="2"/>
        <v>14139.12</v>
      </c>
    </row>
    <row r="14" spans="1:9" x14ac:dyDescent="0.2">
      <c r="A14" s="59"/>
      <c r="B14" s="60"/>
      <c r="C14" s="61"/>
      <c r="D14" s="63"/>
      <c r="E14" s="63">
        <f t="shared" si="0"/>
        <v>21740.560000000001</v>
      </c>
      <c r="F14" s="64"/>
      <c r="G14" s="64">
        <f t="shared" si="1"/>
        <v>7601.4400000000005</v>
      </c>
      <c r="H14" s="64">
        <f t="shared" si="2"/>
        <v>14139.12</v>
      </c>
    </row>
    <row r="15" spans="1:9" x14ac:dyDescent="0.2">
      <c r="A15" s="59"/>
      <c r="B15" s="60"/>
      <c r="C15" s="61"/>
      <c r="D15" s="63"/>
      <c r="E15" s="63">
        <f t="shared" si="0"/>
        <v>21740.560000000001</v>
      </c>
      <c r="F15" s="67"/>
      <c r="G15" s="64">
        <f t="shared" si="1"/>
        <v>7601.4400000000005</v>
      </c>
      <c r="H15" s="64">
        <f t="shared" si="2"/>
        <v>14139.12</v>
      </c>
    </row>
    <row r="16" spans="1:9" x14ac:dyDescent="0.2">
      <c r="A16" s="59"/>
      <c r="B16" s="60"/>
      <c r="C16" s="61"/>
      <c r="D16" s="63"/>
      <c r="E16" s="63">
        <f t="shared" si="0"/>
        <v>21740.560000000001</v>
      </c>
      <c r="F16" s="67"/>
      <c r="G16" s="64">
        <f t="shared" si="1"/>
        <v>7601.4400000000005</v>
      </c>
      <c r="H16" s="64">
        <f t="shared" si="2"/>
        <v>14139.12</v>
      </c>
    </row>
    <row r="17" spans="1:8" x14ac:dyDescent="0.2">
      <c r="A17" s="59"/>
      <c r="B17" s="60"/>
      <c r="C17" s="61"/>
      <c r="D17" s="63"/>
      <c r="E17" s="63">
        <f t="shared" si="0"/>
        <v>21740.560000000001</v>
      </c>
      <c r="F17" s="67"/>
      <c r="G17" s="64">
        <f t="shared" si="1"/>
        <v>7601.4400000000005</v>
      </c>
      <c r="H17" s="64">
        <f t="shared" si="2"/>
        <v>14139.12</v>
      </c>
    </row>
    <row r="18" spans="1:8" x14ac:dyDescent="0.2">
      <c r="A18" s="59"/>
      <c r="B18" s="60"/>
      <c r="C18" s="61"/>
      <c r="D18" s="63"/>
      <c r="E18" s="63">
        <f t="shared" si="0"/>
        <v>21740.560000000001</v>
      </c>
      <c r="F18" s="67"/>
      <c r="G18" s="64">
        <f t="shared" si="1"/>
        <v>7601.4400000000005</v>
      </c>
      <c r="H18" s="64">
        <f t="shared" si="2"/>
        <v>14139.12</v>
      </c>
    </row>
    <row r="19" spans="1:8" x14ac:dyDescent="0.2">
      <c r="A19" s="59"/>
      <c r="B19" s="60"/>
      <c r="C19" s="61"/>
      <c r="D19" s="63"/>
      <c r="E19" s="63">
        <f t="shared" si="0"/>
        <v>21740.560000000001</v>
      </c>
      <c r="F19" s="64"/>
      <c r="G19" s="64">
        <f t="shared" si="1"/>
        <v>7601.4400000000005</v>
      </c>
      <c r="H19" s="64">
        <f t="shared" si="2"/>
        <v>14139.12</v>
      </c>
    </row>
    <row r="20" spans="1:8" x14ac:dyDescent="0.2">
      <c r="A20" s="59"/>
      <c r="B20" s="60"/>
      <c r="C20" s="61"/>
      <c r="D20" s="63"/>
      <c r="E20" s="63">
        <f t="shared" si="0"/>
        <v>21740.560000000001</v>
      </c>
      <c r="F20" s="64"/>
      <c r="G20" s="64">
        <f t="shared" si="1"/>
        <v>7601.4400000000005</v>
      </c>
      <c r="H20" s="64">
        <f t="shared" si="2"/>
        <v>14139.12</v>
      </c>
    </row>
    <row r="21" spans="1:8" x14ac:dyDescent="0.2">
      <c r="A21" s="59"/>
      <c r="B21" s="60"/>
      <c r="C21" s="68"/>
      <c r="D21" s="63"/>
      <c r="E21" s="63">
        <f t="shared" si="0"/>
        <v>21740.560000000001</v>
      </c>
      <c r="F21" s="64"/>
      <c r="G21" s="64">
        <f t="shared" si="1"/>
        <v>7601.4400000000005</v>
      </c>
      <c r="H21" s="64">
        <f t="shared" si="2"/>
        <v>14139.12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21740.560000000001</v>
      </c>
      <c r="E23" s="72"/>
      <c r="F23" s="72">
        <f>SUM(F9:F22)</f>
        <v>7601.4400000000005</v>
      </c>
      <c r="G23" s="72"/>
      <c r="H23" s="72">
        <f>D23-F23</f>
        <v>14139.12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18740.560000000001</v>
      </c>
      <c r="E26" s="252"/>
      <c r="F26" s="252">
        <f>4574.66+2938.78</f>
        <v>7513.4400000000005</v>
      </c>
      <c r="G26" s="252"/>
      <c r="H26" s="252">
        <f>D26-F26</f>
        <v>11227.12</v>
      </c>
    </row>
    <row r="27" spans="1:8" x14ac:dyDescent="0.2">
      <c r="A27" s="73"/>
      <c r="B27" s="61"/>
      <c r="C27" s="251" t="s">
        <v>173</v>
      </c>
      <c r="D27" s="252">
        <v>3000</v>
      </c>
      <c r="E27" s="252"/>
      <c r="F27" s="252">
        <f>88</f>
        <v>88</v>
      </c>
      <c r="G27" s="252"/>
      <c r="H27" s="252">
        <f>D27-F27</f>
        <v>2912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21740.560000000001</v>
      </c>
      <c r="E28" s="255"/>
      <c r="F28" s="254">
        <f>SUM(F26:F27)</f>
        <v>7601.4400000000005</v>
      </c>
      <c r="G28" s="255"/>
      <c r="H28" s="254">
        <f>SUM(H26:H27)</f>
        <v>14139.12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5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J627"/>
  <sheetViews>
    <sheetView zoomScaleNormal="100" workbookViewId="0">
      <selection activeCell="N18" sqref="N18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140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#9460.00'!B1</f>
        <v>DOC NCF LU B, C &amp; D Roof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#9460.00'!B2</f>
        <v>Project # 9460.00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#9460.00'!B3</f>
        <v>Program code 946000</v>
      </c>
      <c r="B3" s="5"/>
      <c r="C3" s="5"/>
      <c r="D3" s="4"/>
      <c r="E3" s="8" t="str">
        <f>'RECAP #9460.00'!E3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165</v>
      </c>
      <c r="F6" s="50"/>
      <c r="G6" s="51"/>
      <c r="H6" s="47"/>
      <c r="I6" s="42"/>
    </row>
    <row r="7" spans="1:10" s="35" customFormat="1" ht="15.75" x14ac:dyDescent="0.25">
      <c r="A7" s="13" t="str">
        <f>'RECAP #9460.00'!B6</f>
        <v>Project Manager - Brad T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35000</v>
      </c>
      <c r="F9" s="63">
        <f>E9</f>
        <v>35000</v>
      </c>
      <c r="G9" s="64"/>
      <c r="H9" s="64"/>
      <c r="I9" s="64">
        <f>F9</f>
        <v>35000</v>
      </c>
    </row>
    <row r="10" spans="1:10" x14ac:dyDescent="0.2">
      <c r="A10" s="257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1" si="0">F9+E10</f>
        <v>35000</v>
      </c>
      <c r="G10" s="258">
        <f>30.05+12.62</f>
        <v>42.67</v>
      </c>
      <c r="H10" s="64">
        <f t="shared" ref="H10:H21" si="1">H9+G10</f>
        <v>42.67</v>
      </c>
      <c r="I10" s="64">
        <f t="shared" ref="I10:I21" si="2">I9-G10+E10</f>
        <v>34957.33</v>
      </c>
    </row>
    <row r="11" spans="1:10" x14ac:dyDescent="0.2">
      <c r="A11" s="257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35000</v>
      </c>
      <c r="G11" s="258">
        <f>15.5+201.3</f>
        <v>216.8</v>
      </c>
      <c r="H11" s="64">
        <f t="shared" si="1"/>
        <v>259.47000000000003</v>
      </c>
      <c r="I11" s="64">
        <f t="shared" si="2"/>
        <v>34740.53</v>
      </c>
    </row>
    <row r="12" spans="1:10" x14ac:dyDescent="0.2">
      <c r="A12" s="257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35000</v>
      </c>
      <c r="G12" s="258">
        <f>61.8+22.44</f>
        <v>84.24</v>
      </c>
      <c r="H12" s="64">
        <f t="shared" si="1"/>
        <v>343.71000000000004</v>
      </c>
      <c r="I12" s="64">
        <f t="shared" si="2"/>
        <v>34656.29</v>
      </c>
    </row>
    <row r="13" spans="1:10" x14ac:dyDescent="0.2">
      <c r="A13" s="257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35000</v>
      </c>
      <c r="G13" s="258">
        <f>48.5+698.5</f>
        <v>747</v>
      </c>
      <c r="H13" s="64">
        <f t="shared" si="1"/>
        <v>1090.71</v>
      </c>
      <c r="I13" s="64">
        <f t="shared" si="2"/>
        <v>33909.29</v>
      </c>
    </row>
    <row r="14" spans="1:10" x14ac:dyDescent="0.2">
      <c r="A14" s="257" t="s">
        <v>268</v>
      </c>
      <c r="B14" s="60">
        <v>45603</v>
      </c>
      <c r="C14" s="246">
        <v>2507</v>
      </c>
      <c r="D14" s="83" t="s">
        <v>269</v>
      </c>
      <c r="E14" s="63"/>
      <c r="F14" s="63">
        <f t="shared" si="0"/>
        <v>35000</v>
      </c>
      <c r="G14" s="258">
        <f>57.57+117.8</f>
        <v>175.37</v>
      </c>
      <c r="H14" s="64">
        <f t="shared" si="1"/>
        <v>1266.08</v>
      </c>
      <c r="I14" s="64">
        <f t="shared" si="2"/>
        <v>33733.919999999998</v>
      </c>
    </row>
    <row r="15" spans="1:10" x14ac:dyDescent="0.2">
      <c r="A15" s="257" t="s">
        <v>268</v>
      </c>
      <c r="B15" s="60">
        <v>45603</v>
      </c>
      <c r="C15" s="246">
        <v>9500</v>
      </c>
      <c r="D15" s="83" t="s">
        <v>270</v>
      </c>
      <c r="E15" s="63"/>
      <c r="F15" s="63">
        <f t="shared" si="0"/>
        <v>35000</v>
      </c>
      <c r="G15" s="258">
        <f>89.5+1080.2</f>
        <v>1169.7</v>
      </c>
      <c r="H15" s="64">
        <f t="shared" si="1"/>
        <v>2435.7799999999997</v>
      </c>
      <c r="I15" s="64">
        <f t="shared" si="2"/>
        <v>32564.219999999998</v>
      </c>
    </row>
    <row r="16" spans="1:10" x14ac:dyDescent="0.2">
      <c r="A16" s="257" t="s">
        <v>345</v>
      </c>
      <c r="B16" s="275">
        <v>45635</v>
      </c>
      <c r="C16" s="276">
        <v>2507</v>
      </c>
      <c r="D16" s="277" t="s">
        <v>346</v>
      </c>
      <c r="E16" s="63"/>
      <c r="F16" s="63">
        <f t="shared" si="0"/>
        <v>35000</v>
      </c>
      <c r="G16" s="258">
        <f>98.21+177.4</f>
        <v>275.61</v>
      </c>
      <c r="H16" s="64">
        <f t="shared" si="1"/>
        <v>2711.39</v>
      </c>
      <c r="I16" s="64">
        <f t="shared" si="2"/>
        <v>32288.609999999997</v>
      </c>
    </row>
    <row r="17" spans="1:9" x14ac:dyDescent="0.2">
      <c r="A17" s="257" t="s">
        <v>345</v>
      </c>
      <c r="B17" s="275">
        <v>45635</v>
      </c>
      <c r="C17" s="276">
        <v>9500</v>
      </c>
      <c r="D17" s="278" t="s">
        <v>347</v>
      </c>
      <c r="E17" s="63"/>
      <c r="F17" s="63">
        <f t="shared" si="0"/>
        <v>35000</v>
      </c>
      <c r="G17" s="258">
        <f>122+1706.1</f>
        <v>1828.1</v>
      </c>
      <c r="H17" s="64">
        <f t="shared" si="1"/>
        <v>4539.49</v>
      </c>
      <c r="I17" s="64">
        <f t="shared" si="2"/>
        <v>30460.51</v>
      </c>
    </row>
    <row r="18" spans="1:9" x14ac:dyDescent="0.2">
      <c r="A18" s="85"/>
      <c r="B18" s="60"/>
      <c r="C18" s="60"/>
      <c r="D18" s="83"/>
      <c r="E18" s="63"/>
      <c r="F18" s="63">
        <f t="shared" si="0"/>
        <v>35000</v>
      </c>
      <c r="G18" s="67"/>
      <c r="H18" s="64">
        <f t="shared" si="1"/>
        <v>4539.49</v>
      </c>
      <c r="I18" s="64">
        <f t="shared" si="2"/>
        <v>30460.51</v>
      </c>
    </row>
    <row r="19" spans="1:9" x14ac:dyDescent="0.2">
      <c r="A19" s="82"/>
      <c r="B19" s="60"/>
      <c r="C19" s="60"/>
      <c r="D19" s="83"/>
      <c r="E19" s="63"/>
      <c r="F19" s="63">
        <f t="shared" si="0"/>
        <v>35000</v>
      </c>
      <c r="G19" s="67"/>
      <c r="H19" s="64">
        <f t="shared" si="1"/>
        <v>4539.49</v>
      </c>
      <c r="I19" s="64">
        <f t="shared" si="2"/>
        <v>30460.51</v>
      </c>
    </row>
    <row r="20" spans="1:9" x14ac:dyDescent="0.2">
      <c r="A20" s="82"/>
      <c r="B20" s="60"/>
      <c r="C20" s="60"/>
      <c r="D20" s="83"/>
      <c r="E20" s="63"/>
      <c r="F20" s="63">
        <f t="shared" si="0"/>
        <v>35000</v>
      </c>
      <c r="G20" s="67"/>
      <c r="H20" s="64">
        <f t="shared" si="1"/>
        <v>4539.49</v>
      </c>
      <c r="I20" s="64">
        <f t="shared" si="2"/>
        <v>30460.51</v>
      </c>
    </row>
    <row r="21" spans="1:9" x14ac:dyDescent="0.2">
      <c r="A21" s="82"/>
      <c r="B21" s="60"/>
      <c r="C21" s="60"/>
      <c r="D21" s="86"/>
      <c r="E21" s="63"/>
      <c r="F21" s="63">
        <f t="shared" si="0"/>
        <v>35000</v>
      </c>
      <c r="G21" s="67"/>
      <c r="H21" s="64">
        <f t="shared" si="1"/>
        <v>4539.49</v>
      </c>
      <c r="I21" s="64">
        <f t="shared" si="2"/>
        <v>30460.51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35000</v>
      </c>
      <c r="F23" s="72"/>
      <c r="G23" s="72">
        <f>SUM(G9:G22)</f>
        <v>4539.49</v>
      </c>
      <c r="H23" s="72"/>
      <c r="I23" s="72">
        <f>E23-G23</f>
        <v>30460.510000000002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#9460.00'!B1</f>
        <v>DOC NCF LU B, C &amp; D Roof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#9460.00'!B2</f>
        <v>Project # 9460.00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#9460.00'!B3</f>
        <v>Program code 946000</v>
      </c>
      <c r="E3" s="8" t="str">
        <f>'RECAP #9460.00'!E3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328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#9460.00'!B6</f>
        <v>Project Manager - Brad T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I629"/>
  <sheetViews>
    <sheetView zoomScaleNormal="100" workbookViewId="0">
      <selection activeCell="L12" sqref="L1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#9460.00'!B1</f>
        <v>DOC NCF LU B, C &amp; D Roof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#9460.00'!B2</f>
        <v>Project # 9460.00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#9460.00'!B3</f>
        <v>Program code 946000</v>
      </c>
      <c r="B3" s="5"/>
      <c r="C3" s="4"/>
      <c r="D3" s="8" t="str">
        <f>'RECAP #9460.00'!E3</f>
        <v>Major Program 4E02</v>
      </c>
      <c r="E3" s="4"/>
      <c r="F3" s="34"/>
      <c r="G3" s="34"/>
    </row>
    <row r="4" spans="1:9" s="35" customFormat="1" ht="15.75" x14ac:dyDescent="0.25">
      <c r="A4" s="36" t="s">
        <v>312</v>
      </c>
      <c r="B4" s="37"/>
      <c r="C4" s="38"/>
      <c r="D4" s="39" t="s">
        <v>314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323</v>
      </c>
      <c r="E5" s="45"/>
      <c r="F5" s="46"/>
      <c r="G5" s="47"/>
      <c r="H5" s="42"/>
    </row>
    <row r="6" spans="1:9" s="35" customFormat="1" ht="15.75" x14ac:dyDescent="0.25">
      <c r="A6" s="13" t="str">
        <f>'RECAP #9460.00'!B6</f>
        <v>Project Manager - Brad T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324</v>
      </c>
      <c r="B9" s="60">
        <v>45629</v>
      </c>
      <c r="C9" s="61" t="s">
        <v>167</v>
      </c>
      <c r="D9" s="247">
        <v>19400</v>
      </c>
      <c r="E9" s="63">
        <f>D9</f>
        <v>19400</v>
      </c>
      <c r="F9" s="64"/>
      <c r="G9" s="64"/>
      <c r="H9" s="64">
        <f>E9</f>
        <v>19400</v>
      </c>
    </row>
    <row r="10" spans="1:9" x14ac:dyDescent="0.2">
      <c r="A10" s="59"/>
      <c r="B10" s="66"/>
      <c r="C10" s="61"/>
      <c r="D10" s="63"/>
      <c r="E10" s="63">
        <f t="shared" ref="E10:E21" si="0">E9+D10</f>
        <v>19400</v>
      </c>
      <c r="F10" s="258"/>
      <c r="G10" s="64">
        <f t="shared" ref="G10:G21" si="1">G9+F10</f>
        <v>0</v>
      </c>
      <c r="H10" s="64">
        <f t="shared" ref="H10:H21" si="2">H9-F10+D10</f>
        <v>19400</v>
      </c>
    </row>
    <row r="11" spans="1:9" x14ac:dyDescent="0.2">
      <c r="A11" s="59"/>
      <c r="B11" s="60"/>
      <c r="C11" s="61"/>
      <c r="D11" s="63"/>
      <c r="E11" s="63">
        <f t="shared" si="0"/>
        <v>19400</v>
      </c>
      <c r="F11" s="67"/>
      <c r="G11" s="64">
        <f t="shared" si="1"/>
        <v>0</v>
      </c>
      <c r="H11" s="64">
        <f t="shared" si="2"/>
        <v>19400</v>
      </c>
    </row>
    <row r="12" spans="1:9" x14ac:dyDescent="0.2">
      <c r="A12" s="59"/>
      <c r="B12" s="60"/>
      <c r="C12" s="61"/>
      <c r="D12" s="63"/>
      <c r="E12" s="63">
        <f t="shared" si="0"/>
        <v>19400</v>
      </c>
      <c r="F12" s="67"/>
      <c r="G12" s="64">
        <f t="shared" si="1"/>
        <v>0</v>
      </c>
      <c r="H12" s="64">
        <f t="shared" si="2"/>
        <v>19400</v>
      </c>
    </row>
    <row r="13" spans="1:9" x14ac:dyDescent="0.2">
      <c r="A13" s="59"/>
      <c r="B13" s="60"/>
      <c r="C13" s="61"/>
      <c r="D13" s="63"/>
      <c r="E13" s="63">
        <f t="shared" si="0"/>
        <v>19400</v>
      </c>
      <c r="F13" s="67"/>
      <c r="G13" s="64">
        <f t="shared" si="1"/>
        <v>0</v>
      </c>
      <c r="H13" s="64">
        <f t="shared" si="2"/>
        <v>19400</v>
      </c>
    </row>
    <row r="14" spans="1:9" x14ac:dyDescent="0.2">
      <c r="A14" s="59"/>
      <c r="B14" s="60"/>
      <c r="C14" s="61"/>
      <c r="D14" s="63"/>
      <c r="E14" s="63">
        <f t="shared" si="0"/>
        <v>19400</v>
      </c>
      <c r="F14" s="64"/>
      <c r="G14" s="64">
        <f t="shared" si="1"/>
        <v>0</v>
      </c>
      <c r="H14" s="64">
        <f t="shared" si="2"/>
        <v>19400</v>
      </c>
    </row>
    <row r="15" spans="1:9" x14ac:dyDescent="0.2">
      <c r="A15" s="59"/>
      <c r="B15" s="60"/>
      <c r="C15" s="61"/>
      <c r="D15" s="63"/>
      <c r="E15" s="63">
        <f t="shared" si="0"/>
        <v>19400</v>
      </c>
      <c r="F15" s="67"/>
      <c r="G15" s="64">
        <f t="shared" si="1"/>
        <v>0</v>
      </c>
      <c r="H15" s="64">
        <f t="shared" si="2"/>
        <v>19400</v>
      </c>
    </row>
    <row r="16" spans="1:9" x14ac:dyDescent="0.2">
      <c r="A16" s="59"/>
      <c r="B16" s="60"/>
      <c r="C16" s="61"/>
      <c r="D16" s="63"/>
      <c r="E16" s="63">
        <f t="shared" si="0"/>
        <v>19400</v>
      </c>
      <c r="F16" s="67"/>
      <c r="G16" s="64">
        <f t="shared" si="1"/>
        <v>0</v>
      </c>
      <c r="H16" s="64">
        <f t="shared" si="2"/>
        <v>19400</v>
      </c>
    </row>
    <row r="17" spans="1:8" x14ac:dyDescent="0.2">
      <c r="A17" s="59"/>
      <c r="B17" s="60"/>
      <c r="C17" s="61"/>
      <c r="D17" s="63"/>
      <c r="E17" s="63">
        <f t="shared" si="0"/>
        <v>19400</v>
      </c>
      <c r="F17" s="67"/>
      <c r="G17" s="64">
        <f t="shared" si="1"/>
        <v>0</v>
      </c>
      <c r="H17" s="64">
        <f t="shared" si="2"/>
        <v>19400</v>
      </c>
    </row>
    <row r="18" spans="1:8" x14ac:dyDescent="0.2">
      <c r="A18" s="59"/>
      <c r="B18" s="60"/>
      <c r="C18" s="61"/>
      <c r="D18" s="63"/>
      <c r="E18" s="63">
        <f t="shared" si="0"/>
        <v>19400</v>
      </c>
      <c r="F18" s="67"/>
      <c r="G18" s="64">
        <f t="shared" si="1"/>
        <v>0</v>
      </c>
      <c r="H18" s="64">
        <f t="shared" si="2"/>
        <v>19400</v>
      </c>
    </row>
    <row r="19" spans="1:8" x14ac:dyDescent="0.2">
      <c r="A19" s="59"/>
      <c r="B19" s="60"/>
      <c r="C19" s="61"/>
      <c r="D19" s="63"/>
      <c r="E19" s="63">
        <f t="shared" si="0"/>
        <v>19400</v>
      </c>
      <c r="F19" s="64"/>
      <c r="G19" s="64">
        <f t="shared" si="1"/>
        <v>0</v>
      </c>
      <c r="H19" s="64">
        <f t="shared" si="2"/>
        <v>19400</v>
      </c>
    </row>
    <row r="20" spans="1:8" x14ac:dyDescent="0.2">
      <c r="A20" s="59"/>
      <c r="B20" s="60"/>
      <c r="C20" s="61"/>
      <c r="D20" s="63"/>
      <c r="E20" s="63">
        <f t="shared" si="0"/>
        <v>19400</v>
      </c>
      <c r="F20" s="64"/>
      <c r="G20" s="64">
        <f t="shared" si="1"/>
        <v>0</v>
      </c>
      <c r="H20" s="64">
        <f t="shared" si="2"/>
        <v>19400</v>
      </c>
    </row>
    <row r="21" spans="1:8" x14ac:dyDescent="0.2">
      <c r="A21" s="59"/>
      <c r="B21" s="60"/>
      <c r="C21" s="68"/>
      <c r="D21" s="63"/>
      <c r="E21" s="63">
        <f t="shared" si="0"/>
        <v>19400</v>
      </c>
      <c r="F21" s="64"/>
      <c r="G21" s="64">
        <f t="shared" si="1"/>
        <v>0</v>
      </c>
      <c r="H21" s="64">
        <f t="shared" si="2"/>
        <v>19400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19400</v>
      </c>
      <c r="E23" s="72"/>
      <c r="F23" s="72">
        <f>SUM(F9:F22)</f>
        <v>0</v>
      </c>
      <c r="G23" s="72"/>
      <c r="H23" s="72">
        <f>D23-F23</f>
        <v>19400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325</v>
      </c>
      <c r="D26" s="252">
        <v>2000</v>
      </c>
      <c r="E26" s="252"/>
      <c r="F26" s="252"/>
      <c r="G26" s="252"/>
      <c r="H26" s="252">
        <f>D26-F26</f>
        <v>2000</v>
      </c>
    </row>
    <row r="27" spans="1:8" x14ac:dyDescent="0.2">
      <c r="A27" s="73"/>
      <c r="B27" s="61"/>
      <c r="C27" s="251" t="s">
        <v>326</v>
      </c>
      <c r="D27" s="252">
        <v>2950</v>
      </c>
      <c r="E27" s="252"/>
      <c r="F27" s="252"/>
      <c r="G27" s="252"/>
      <c r="H27" s="252">
        <f>D27-F27</f>
        <v>2950</v>
      </c>
    </row>
    <row r="28" spans="1:8" x14ac:dyDescent="0.2">
      <c r="A28" s="73"/>
      <c r="B28" s="61"/>
      <c r="C28" s="251" t="s">
        <v>206</v>
      </c>
      <c r="D28" s="252">
        <f>5600</f>
        <v>5600</v>
      </c>
      <c r="E28" s="252"/>
      <c r="F28" s="252"/>
      <c r="G28" s="252"/>
      <c r="H28" s="252">
        <f>D28-F28</f>
        <v>5600</v>
      </c>
    </row>
    <row r="29" spans="1:8" x14ac:dyDescent="0.2">
      <c r="A29" s="73"/>
      <c r="B29" s="61"/>
      <c r="C29" s="251" t="s">
        <v>327</v>
      </c>
      <c r="D29" s="252">
        <v>1250</v>
      </c>
      <c r="E29" s="252"/>
      <c r="F29" s="252"/>
      <c r="G29" s="252"/>
      <c r="H29" s="252">
        <f>D29-F29</f>
        <v>1250</v>
      </c>
    </row>
    <row r="30" spans="1:8" x14ac:dyDescent="0.2">
      <c r="A30" s="73"/>
      <c r="B30" s="61"/>
      <c r="C30" s="251" t="s">
        <v>208</v>
      </c>
      <c r="D30" s="252">
        <v>7600</v>
      </c>
      <c r="E30" s="252"/>
      <c r="F30" s="252"/>
      <c r="G30" s="252"/>
      <c r="H30" s="252">
        <f>D30-F30</f>
        <v>7600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19400</v>
      </c>
      <c r="E31" s="255"/>
      <c r="F31" s="254">
        <f>SUM(F26:F30)</f>
        <v>0</v>
      </c>
      <c r="G31" s="255"/>
      <c r="H31" s="254">
        <f>SUM(H26:H30)</f>
        <v>19400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25">
    <cfRule type="cellIs" dxfId="4" priority="2" operator="greaterThan">
      <formula>$H$23</formula>
    </cfRule>
  </conditionalFormatting>
  <conditionalFormatting sqref="I26:I30">
    <cfRule type="cellIs" dxfId="3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B237D-F6FE-4B4E-B906-512679616C96}">
  <dimension ref="A1:H24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372</v>
      </c>
      <c r="C1" s="3"/>
    </row>
    <row r="2" spans="1:8" ht="15.75" x14ac:dyDescent="0.25">
      <c r="B2" s="6" t="s">
        <v>374</v>
      </c>
    </row>
    <row r="3" spans="1:8" ht="15.75" x14ac:dyDescent="0.25">
      <c r="B3" s="7" t="s">
        <v>375</v>
      </c>
      <c r="E3" s="8" t="s">
        <v>376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191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FINANCIAL!G36</f>
        <v>610000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'#9462.00 Vendor A'!D23</f>
        <v>0</v>
      </c>
      <c r="E10" s="24">
        <f>'#9462.00 Vendor A'!F23</f>
        <v>0</v>
      </c>
      <c r="F10" s="24">
        <f>'#9462.00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'#9462.00 PM TIME '!E23</f>
        <v>0</v>
      </c>
      <c r="E11" s="24">
        <f>'#9462.00 PM TIME '!G23</f>
        <v>0</v>
      </c>
      <c r="F11" s="24">
        <f>'#9462.00 PM TIME '!I23</f>
        <v>0</v>
      </c>
      <c r="G11" s="25"/>
      <c r="H11" s="17"/>
    </row>
    <row r="12" spans="1:8" x14ac:dyDescent="0.2">
      <c r="B12" s="5" t="s">
        <v>15</v>
      </c>
      <c r="C12" s="27"/>
      <c r="D12" s="28">
        <f>'#9462.00 Misc '!G22</f>
        <v>0</v>
      </c>
      <c r="E12" s="28">
        <f>'#9462.00 Misc 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610000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C14-D14</f>
        <v>610000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23CB-FA7C-434F-B06C-FCB77B4B7EE1}">
  <sheetPr>
    <tabColor rgb="FF0070C0"/>
  </sheetPr>
  <dimension ref="A1:I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#9462.00'!B1</f>
        <v>DOE ISD Parking Lot Repair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#9462.00'!B2</f>
        <v>Project # 9462.00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#9462.00'!B3</f>
        <v>Program code 946200</v>
      </c>
      <c r="B3" s="5"/>
      <c r="C3" s="4"/>
      <c r="D3" s="8" t="str">
        <f>'RECAP #9462.00'!E3</f>
        <v>Major Program 3G01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#9462.00'!B6</f>
        <v>Project Manager - Jennie E.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CA81-CD47-4507-92C8-C8C1D07104C6}">
  <sheetPr>
    <tabColor indexed="30"/>
  </sheetPr>
  <dimension ref="A1:J627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#9462.00'!B1</f>
        <v>DOE ISD Parking Lot Repair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#9462.00'!B2</f>
        <v>Project # 9462.00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#9462.00'!B3</f>
        <v>Program code 946200</v>
      </c>
      <c r="B3" s="5"/>
      <c r="C3" s="5"/>
      <c r="D3" s="4"/>
      <c r="E3" s="8" t="str">
        <f>'RECAP #9462.00'!E3</f>
        <v>Major Program 3G01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379</v>
      </c>
      <c r="F6" s="50"/>
      <c r="G6" s="51"/>
      <c r="H6" s="47"/>
      <c r="I6" s="42"/>
    </row>
    <row r="7" spans="1:10" s="35" customFormat="1" ht="15.75" x14ac:dyDescent="0.25">
      <c r="A7" s="13" t="str">
        <f>'RECAP #9462.00'!B6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B42E-90AE-4DCE-9606-6DB706B96923}">
  <sheetPr>
    <tabColor indexed="30"/>
  </sheetPr>
  <dimension ref="A1:AD41"/>
  <sheetViews>
    <sheetView zoomScaleNormal="100" workbookViewId="0">
      <selection activeCell="C24" sqref="C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#9462.00'!B1</f>
        <v>DOE ISD Parking Lot Repair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#9462.00'!B2</f>
        <v>Project # 9462.00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#9462.00'!B3</f>
        <v>Program code 946200</v>
      </c>
      <c r="E3" s="8" t="str">
        <f>'RECAP #9462.00'!E3</f>
        <v>Major Program 3G01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#9462.00'!B6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583F-1132-4D9B-B646-911BD61E79A0}">
  <dimension ref="A1:H24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373</v>
      </c>
      <c r="C1" s="3"/>
    </row>
    <row r="2" spans="1:8" ht="15.75" x14ac:dyDescent="0.25">
      <c r="B2" s="6" t="s">
        <v>377</v>
      </c>
    </row>
    <row r="3" spans="1:8" ht="15.75" x14ac:dyDescent="0.25">
      <c r="B3" s="7" t="s">
        <v>378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FINANCIAL!G37</f>
        <v>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'#9463.00 Vendor A '!D23</f>
        <v>0</v>
      </c>
      <c r="E10" s="24">
        <f>'#9463.00 Vendor A '!F23</f>
        <v>0</v>
      </c>
      <c r="F10" s="24">
        <f>'#9463.00 Vendor A '!H23</f>
        <v>0</v>
      </c>
      <c r="G10" s="25"/>
      <c r="H10" s="17"/>
    </row>
    <row r="11" spans="1:8" x14ac:dyDescent="0.2">
      <c r="B11" s="5" t="s">
        <v>14</v>
      </c>
      <c r="C11" s="26"/>
      <c r="D11" s="24">
        <f>'#9463.00 PM TIME'!E23</f>
        <v>0</v>
      </c>
      <c r="E11" s="24">
        <f>'#9463.00 PM TIME'!G23</f>
        <v>0</v>
      </c>
      <c r="F11" s="24">
        <f>'#9463.00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'#9463.00 Misc'!G22</f>
        <v>0</v>
      </c>
      <c r="E12" s="28">
        <f>'#9463.00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500000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C14-D14</f>
        <v>500000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B349-6CA9-4BDF-B8B5-A1D1743439F5}">
  <sheetPr>
    <tabColor rgb="FF0070C0"/>
  </sheetPr>
  <dimension ref="A1:I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#9463.00'!B1</f>
        <v>HHS WRC Birches Window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#9463.00'!B2</f>
        <v>Project # 9463.00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#9463.00'!B3</f>
        <v>Program code 946300</v>
      </c>
      <c r="B3" s="5"/>
      <c r="C3" s="4"/>
      <c r="D3" s="8" t="str">
        <f>'RECAP #9463.00'!E3</f>
        <v>Major Program 4G01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#9463.00'!B6</f>
        <v>Project Manager - Jennifer K.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8CE9-2EC6-4D44-AA27-97E033398642}">
  <sheetPr>
    <tabColor indexed="30"/>
  </sheetPr>
  <dimension ref="A1:J627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#9463.00'!B1</f>
        <v>HHS WRC Birches Window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#9463.00'!B2</f>
        <v>Project # 9463.00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#9463.00'!B3</f>
        <v>Program code 946300</v>
      </c>
      <c r="B3" s="5"/>
      <c r="C3" s="5"/>
      <c r="D3" s="4"/>
      <c r="E3" s="8" t="str">
        <f>'RECAP #9463.00'!E3</f>
        <v>Major Program 4G01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380</v>
      </c>
      <c r="F6" s="50"/>
      <c r="G6" s="51"/>
      <c r="H6" s="47"/>
      <c r="I6" s="42"/>
    </row>
    <row r="7" spans="1:10" s="35" customFormat="1" ht="15.75" x14ac:dyDescent="0.25">
      <c r="A7" s="13" t="str">
        <f>'RECAP #9463.00'!B6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56CB-508E-4671-8AF1-630B76FEB29D}">
  <sheetPr>
    <tabColor indexed="30"/>
  </sheetPr>
  <dimension ref="A1:AD41"/>
  <sheetViews>
    <sheetView zoomScaleNormal="100" workbookViewId="0">
      <selection activeCell="A2" sqref="A2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80" t="str">
        <f>'RECAP #9463.00'!B1</f>
        <v>HHS WRC Birches Window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#9463.00'!B2</f>
        <v>Project # 9463.00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#9463.00'!B3</f>
        <v>Program code 946300</v>
      </c>
      <c r="E3" s="8" t="str">
        <f>'RECAP #9463.00'!E3</f>
        <v>Major Program 4G01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#9463.00'!B6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indexed="30"/>
  </sheetPr>
  <dimension ref="A1:H24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130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C14-D14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0070C0"/>
  </sheetPr>
  <dimension ref="A1:I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 '!B1</f>
        <v>Project Name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 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 '!B3</f>
        <v>Program code xxxxxx</v>
      </c>
      <c r="B3" s="5"/>
      <c r="C3" s="4"/>
      <c r="D3" s="8" t="str">
        <f>'RECAP #XXXX.XX 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 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indexed="30"/>
  </sheetPr>
  <dimension ref="A1:J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 '!B1</f>
        <v>Project Name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 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 '!B3</f>
        <v>Program code xxxxxx</v>
      </c>
      <c r="B3" s="5"/>
      <c r="C3" s="5"/>
      <c r="D3" s="4"/>
      <c r="E3" s="8" t="str">
        <f>'RECAP #XXXX.XX 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 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indexed="30"/>
  </sheetPr>
  <dimension ref="A1:AD41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 '!B1</f>
        <v>Project Name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 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 '!B3</f>
        <v>Program code xxxxxx</v>
      </c>
      <c r="E3" s="8" t="str">
        <f>'RECAP #XXXX.XX 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 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107</vt:i4>
      </vt:variant>
      <vt:variant>
        <vt:lpstr>Named Ranges</vt:lpstr>
      </vt:variant>
      <vt:variant>
        <vt:i4>3</vt:i4>
      </vt:variant>
    </vt:vector>
  </HeadingPairs>
  <TitlesOfParts>
    <vt:vector size="110" baseType="lpstr">
      <vt:lpstr>Language</vt:lpstr>
      <vt:lpstr>FINANCIAL</vt:lpstr>
      <vt:lpstr>MM25 Funds Rec'd</vt:lpstr>
      <vt:lpstr>RECAP #9997.25</vt:lpstr>
      <vt:lpstr>#9997.25 PM TIME</vt:lpstr>
      <vt:lpstr>RECAP #9354.00</vt:lpstr>
      <vt:lpstr>#9354.00 Vendor A</vt:lpstr>
      <vt:lpstr>#9354.00 PM TIME</vt:lpstr>
      <vt:lpstr>#9354.00 Misc</vt:lpstr>
      <vt:lpstr>RECAP #9371.00</vt:lpstr>
      <vt:lpstr>#9371.00 Samuels Group</vt:lpstr>
      <vt:lpstr>#9371.00 PM TIME</vt:lpstr>
      <vt:lpstr>#9371.00 Misc</vt:lpstr>
      <vt:lpstr>#9371.00 MetroDriveway</vt:lpstr>
      <vt:lpstr>RECAP #9422.00</vt:lpstr>
      <vt:lpstr>#9422.00 McGough Construction</vt:lpstr>
      <vt:lpstr>#9422.00 PM TIME </vt:lpstr>
      <vt:lpstr>#9422.00 Misc</vt:lpstr>
      <vt:lpstr>RECAP #9442.00</vt:lpstr>
      <vt:lpstr>#9442.00 McGough Construction</vt:lpstr>
      <vt:lpstr>#9442.00 PM TIME</vt:lpstr>
      <vt:lpstr>#9442.00 Misc</vt:lpstr>
      <vt:lpstr>RECAP #9443.00</vt:lpstr>
      <vt:lpstr>#9443.00 McGough Construction</vt:lpstr>
      <vt:lpstr>#9443.00 PM TIME</vt:lpstr>
      <vt:lpstr>#9443.00 Misc</vt:lpstr>
      <vt:lpstr>RECAP #9444.00</vt:lpstr>
      <vt:lpstr>#9444.00 Samuels Group</vt:lpstr>
      <vt:lpstr>#9444.00 PM TIME</vt:lpstr>
      <vt:lpstr>#9444.00 Misc</vt:lpstr>
      <vt:lpstr>RECAP #9445.00</vt:lpstr>
      <vt:lpstr>#9445.00 Samuels Group</vt:lpstr>
      <vt:lpstr>#9445.00 PM TIME</vt:lpstr>
      <vt:lpstr>#9445.00 Misc</vt:lpstr>
      <vt:lpstr>RECAP #9447.00</vt:lpstr>
      <vt:lpstr>#9447.00 DCI Group</vt:lpstr>
      <vt:lpstr>#9447.00 PM TIME</vt:lpstr>
      <vt:lpstr>#9447.00 Misc </vt:lpstr>
      <vt:lpstr>#9447.00 OPN Architects</vt:lpstr>
      <vt:lpstr>RECAP #9448.00</vt:lpstr>
      <vt:lpstr>#9448.00 DCI Group</vt:lpstr>
      <vt:lpstr>#9448.00 PM TIME</vt:lpstr>
      <vt:lpstr>#9448.00 Misc </vt:lpstr>
      <vt:lpstr>#9448.00 OPN Architects</vt:lpstr>
      <vt:lpstr>RECAP #9449.00</vt:lpstr>
      <vt:lpstr>#9449.00 DCI Group</vt:lpstr>
      <vt:lpstr>#9449.00 PM TIME</vt:lpstr>
      <vt:lpstr>#9449.00 Misc</vt:lpstr>
      <vt:lpstr>#9449.00 OPN Architects</vt:lpstr>
      <vt:lpstr>RECAP #9451.00</vt:lpstr>
      <vt:lpstr>#9451.00 McGough Construction</vt:lpstr>
      <vt:lpstr>#9451.00 PM Time</vt:lpstr>
      <vt:lpstr>#9451.00 Misc</vt:lpstr>
      <vt:lpstr>#9451.00 IMEG Corporation</vt:lpstr>
      <vt:lpstr>RECAP #9452.00</vt:lpstr>
      <vt:lpstr>#9452.00 Innovative Engineers</vt:lpstr>
      <vt:lpstr>#9452.00 PM TIME </vt:lpstr>
      <vt:lpstr>#9452.00 Misc </vt:lpstr>
      <vt:lpstr>RECAP #9453.00</vt:lpstr>
      <vt:lpstr>#9453.00 McGough Construction</vt:lpstr>
      <vt:lpstr>#9453.00 PM TIME</vt:lpstr>
      <vt:lpstr>#9453.00 Misc</vt:lpstr>
      <vt:lpstr>#9453.00 GenesisArchitectural</vt:lpstr>
      <vt:lpstr>RECAP #9454.00</vt:lpstr>
      <vt:lpstr>#9454.00 Samuels Group</vt:lpstr>
      <vt:lpstr>#9454.00 PM TIME</vt:lpstr>
      <vt:lpstr>#9454.00 Misc </vt:lpstr>
      <vt:lpstr>#9454.00 Horizon Architecture</vt:lpstr>
      <vt:lpstr>RECAP #9455.00</vt:lpstr>
      <vt:lpstr>#9455.00 Samuels Group</vt:lpstr>
      <vt:lpstr>#9455.00 PM TIME </vt:lpstr>
      <vt:lpstr>#9455.00 Misc </vt:lpstr>
      <vt:lpstr>#9455.00 OPN Architects</vt:lpstr>
      <vt:lpstr>RECAP #9456.00</vt:lpstr>
      <vt:lpstr>#9456.00 Samuels Group</vt:lpstr>
      <vt:lpstr>#9456.00 PM TIME </vt:lpstr>
      <vt:lpstr>#9456.00 Misc</vt:lpstr>
      <vt:lpstr>RECAP #9457.00</vt:lpstr>
      <vt:lpstr>#9457.00 Samuels Group</vt:lpstr>
      <vt:lpstr>#9457.00 PM TIME</vt:lpstr>
      <vt:lpstr>#9457.00 Misc</vt:lpstr>
      <vt:lpstr>RECAP #9458.00</vt:lpstr>
      <vt:lpstr>#9458.00 McGough</vt:lpstr>
      <vt:lpstr>#9458.00 PM TIME</vt:lpstr>
      <vt:lpstr>#9458.00 Misc </vt:lpstr>
      <vt:lpstr>RECAP #9459.00</vt:lpstr>
      <vt:lpstr>#9459.00 McGough Construction</vt:lpstr>
      <vt:lpstr>#9459.00 PM TIME</vt:lpstr>
      <vt:lpstr>#9459.00 Misc</vt:lpstr>
      <vt:lpstr>#9459.00 IMEG Corporation</vt:lpstr>
      <vt:lpstr>RECAP #9460.00</vt:lpstr>
      <vt:lpstr>#9460.00 Boyd Jones</vt:lpstr>
      <vt:lpstr>#9460.00 PM TIME</vt:lpstr>
      <vt:lpstr>#9460.00 Misc</vt:lpstr>
      <vt:lpstr>#9460.00 Genesis Architectural</vt:lpstr>
      <vt:lpstr>RECAP #9462.00</vt:lpstr>
      <vt:lpstr>#9462.00 Vendor A</vt:lpstr>
      <vt:lpstr>#9462.00 PM TIME </vt:lpstr>
      <vt:lpstr>#9462.00 Misc </vt:lpstr>
      <vt:lpstr>RECAP #9463.00</vt:lpstr>
      <vt:lpstr>#9463.00 Vendor A </vt:lpstr>
      <vt:lpstr>#9463.00 PM TIME</vt:lpstr>
      <vt:lpstr>#9463.00 Misc</vt:lpstr>
      <vt:lpstr>RECAP #XXXX.XX </vt:lpstr>
      <vt:lpstr>#XXXX.XX Vendor A</vt:lpstr>
      <vt:lpstr>#XXXX.XX PM TIME</vt:lpstr>
      <vt:lpstr>#XXXX.XX Misc</vt:lpstr>
      <vt:lpstr>'#9997.25 PM TIME'!Print_Area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2024-12-31T20:18:10Z</cp:lastPrinted>
  <dcterms:created xsi:type="dcterms:W3CDTF">2015-06-05T18:17:20Z</dcterms:created>
  <dcterms:modified xsi:type="dcterms:W3CDTF">2024-12-31T20:18:25Z</dcterms:modified>
</cp:coreProperties>
</file>