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uman Resources\Benefits\Deferred Comp\TSA-403b\Contributions\"/>
    </mc:Choice>
  </mc:AlternateContent>
  <bookViews>
    <workbookView xWindow="0" yWindow="0" windowWidth="14370" windowHeight="74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N36" i="1" l="1"/>
  <c r="J36" i="1"/>
  <c r="D36" i="1"/>
  <c r="G36" i="1" l="1"/>
  <c r="B7" i="1"/>
  <c r="K36" i="1" l="1"/>
  <c r="H36" i="1"/>
  <c r="H3" i="1"/>
  <c r="M36" i="1" l="1"/>
  <c r="K35" i="1"/>
  <c r="J35" i="1"/>
  <c r="D35" i="1"/>
  <c r="G35" i="1" s="1"/>
  <c r="J34" i="1" l="1"/>
  <c r="D34" i="1"/>
  <c r="G34" i="1" l="1"/>
  <c r="J33" i="1"/>
  <c r="D33" i="1"/>
  <c r="G33" i="1" s="1"/>
  <c r="K34" i="1" l="1"/>
  <c r="K33" i="1"/>
  <c r="J32" i="1"/>
  <c r="D32" i="1"/>
  <c r="G32" i="1" s="1"/>
  <c r="K32" i="1" l="1"/>
  <c r="J31" i="1"/>
  <c r="D31" i="1"/>
  <c r="G31" i="1" s="1"/>
  <c r="J30" i="1" l="1"/>
  <c r="J29" i="1"/>
  <c r="J28" i="1"/>
  <c r="J27" i="1"/>
  <c r="J26" i="1"/>
  <c r="J25" i="1"/>
  <c r="J24" i="1"/>
  <c r="J23" i="1"/>
  <c r="J22" i="1"/>
  <c r="J21" i="1"/>
  <c r="J20" i="1"/>
  <c r="F20" i="1" s="1"/>
  <c r="J19" i="1"/>
  <c r="F19" i="1" s="1"/>
  <c r="J18" i="1"/>
  <c r="F18" i="1" s="1"/>
  <c r="J17" i="1"/>
  <c r="F17" i="1" s="1"/>
  <c r="J16" i="1"/>
  <c r="F16" i="1" s="1"/>
  <c r="J15" i="1"/>
  <c r="F15" i="1" s="1"/>
  <c r="J14" i="1"/>
  <c r="F14" i="1" s="1"/>
  <c r="J13" i="1"/>
  <c r="F13" i="1" s="1"/>
  <c r="D30" i="1" l="1"/>
  <c r="G30" i="1" l="1"/>
  <c r="K31" i="1"/>
  <c r="D29" i="1"/>
  <c r="G29" i="1" s="1"/>
  <c r="K30" i="1" l="1"/>
  <c r="K25" i="1"/>
  <c r="K21" i="1"/>
  <c r="K17" i="1"/>
  <c r="K28" i="1"/>
  <c r="K29" i="1"/>
  <c r="K24" i="1"/>
  <c r="K20" i="1"/>
  <c r="K16" i="1"/>
  <c r="K13" i="1"/>
  <c r="K27" i="1"/>
  <c r="K23" i="1"/>
  <c r="K19" i="1"/>
  <c r="K15" i="1"/>
  <c r="K26" i="1"/>
  <c r="K22" i="1"/>
  <c r="K18" i="1"/>
  <c r="K14" i="1"/>
  <c r="D28" i="1"/>
  <c r="G28" i="1" l="1"/>
  <c r="D27" i="1"/>
  <c r="G27" i="1" s="1"/>
  <c r="B5" i="1" l="1"/>
  <c r="N35" i="1" s="1"/>
  <c r="D20" i="1"/>
  <c r="G20" i="1" s="1"/>
  <c r="D21" i="1"/>
  <c r="D22" i="1"/>
  <c r="G22" i="1" s="1"/>
  <c r="D23" i="1"/>
  <c r="D24" i="1"/>
  <c r="D25" i="1"/>
  <c r="D26" i="1"/>
  <c r="G26" i="1" s="1"/>
  <c r="H5" i="1"/>
  <c r="D14" i="1"/>
  <c r="G14" i="1" s="1"/>
  <c r="D15" i="1"/>
  <c r="G15" i="1" s="1"/>
  <c r="D16" i="1"/>
  <c r="G16" i="1" s="1"/>
  <c r="D17" i="1"/>
  <c r="G17" i="1" s="1"/>
  <c r="D18" i="1"/>
  <c r="G18" i="1" s="1"/>
  <c r="D19" i="1"/>
  <c r="G19" i="1" s="1"/>
  <c r="D13" i="1"/>
  <c r="D37" i="1" l="1"/>
  <c r="H4" i="1" s="1"/>
  <c r="I36" i="1"/>
  <c r="G21" i="1"/>
  <c r="I35" i="1"/>
  <c r="F36" i="1" s="1"/>
  <c r="L36" i="1" s="1"/>
  <c r="O36" i="1" s="1"/>
  <c r="I34" i="1"/>
  <c r="F35" i="1" s="1"/>
  <c r="N34" i="1"/>
  <c r="G24" i="1"/>
  <c r="I33" i="1"/>
  <c r="F34" i="1" s="1"/>
  <c r="N33" i="1"/>
  <c r="G25" i="1"/>
  <c r="I32" i="1"/>
  <c r="F33" i="1" s="1"/>
  <c r="N32" i="1"/>
  <c r="I31" i="1"/>
  <c r="F32" i="1" s="1"/>
  <c r="G23" i="1"/>
  <c r="N30" i="1"/>
  <c r="N31" i="1"/>
  <c r="I28" i="1"/>
  <c r="I16" i="1"/>
  <c r="I17" i="1"/>
  <c r="I21" i="1"/>
  <c r="F22" i="1" s="1"/>
  <c r="I25" i="1"/>
  <c r="F26" i="1" s="1"/>
  <c r="I29" i="1"/>
  <c r="F30" i="1" s="1"/>
  <c r="I15" i="1"/>
  <c r="I18" i="1"/>
  <c r="I22" i="1"/>
  <c r="F23" i="1" s="1"/>
  <c r="I26" i="1"/>
  <c r="F27" i="1" s="1"/>
  <c r="I14" i="1"/>
  <c r="I19" i="1"/>
  <c r="I23" i="1"/>
  <c r="F24" i="1" s="1"/>
  <c r="I27" i="1"/>
  <c r="F28" i="1" s="1"/>
  <c r="I30" i="1"/>
  <c r="F31" i="1" s="1"/>
  <c r="I13" i="1"/>
  <c r="I20" i="1"/>
  <c r="F21" i="1" s="1"/>
  <c r="I24" i="1"/>
  <c r="F25" i="1" s="1"/>
  <c r="G13" i="1"/>
  <c r="N29" i="1"/>
  <c r="N22" i="1"/>
  <c r="N25" i="1"/>
  <c r="N28" i="1"/>
  <c r="H13" i="1"/>
  <c r="N23" i="1"/>
  <c r="N21" i="1"/>
  <c r="N26" i="1"/>
  <c r="N27" i="1"/>
  <c r="N24" i="1"/>
  <c r="N20" i="1"/>
  <c r="N15" i="1"/>
  <c r="N17" i="1"/>
  <c r="N16" i="1"/>
  <c r="N19" i="1"/>
  <c r="N18" i="1"/>
  <c r="P36" i="1" l="1"/>
  <c r="Q36" i="1"/>
  <c r="L35" i="1"/>
  <c r="O35" i="1" s="1"/>
  <c r="Q35" i="1" s="1"/>
  <c r="H35" i="1"/>
  <c r="M35" i="1" s="1"/>
  <c r="L34" i="1"/>
  <c r="O34" i="1" s="1"/>
  <c r="P34" i="1" s="1"/>
  <c r="H34" i="1"/>
  <c r="M34" i="1" s="1"/>
  <c r="H28" i="1"/>
  <c r="F29" i="1"/>
  <c r="L33" i="1"/>
  <c r="O33" i="1" s="1"/>
  <c r="Q33" i="1" s="1"/>
  <c r="H33" i="1"/>
  <c r="L14" i="1"/>
  <c r="M33" i="1" l="1"/>
  <c r="P35" i="1"/>
  <c r="Q34" i="1"/>
  <c r="L31" i="1"/>
  <c r="O31" i="1" s="1"/>
  <c r="P31" i="1" s="1"/>
  <c r="H31" i="1"/>
  <c r="M31" i="1" s="1"/>
  <c r="P33" i="1"/>
  <c r="L32" i="1"/>
  <c r="O32" i="1" s="1"/>
  <c r="Q32" i="1" s="1"/>
  <c r="H32" i="1"/>
  <c r="M32" i="1" s="1"/>
  <c r="Q31" i="1" l="1"/>
  <c r="P32" i="1"/>
  <c r="O14" i="1"/>
  <c r="H14" i="1"/>
  <c r="P14" i="1" l="1"/>
  <c r="Q14" i="1"/>
  <c r="L15" i="1"/>
  <c r="H15" i="1" l="1"/>
  <c r="O15" i="1"/>
  <c r="P15" i="1" l="1"/>
  <c r="Q15" i="1"/>
  <c r="M15" i="1"/>
  <c r="L16" i="1"/>
  <c r="H16" i="1" l="1"/>
  <c r="O16" i="1"/>
  <c r="P16" i="1" l="1"/>
  <c r="Q16" i="1"/>
  <c r="M16" i="1"/>
  <c r="L17" i="1"/>
  <c r="O17" i="1" l="1"/>
  <c r="P17" i="1" s="1"/>
  <c r="H17" i="1"/>
  <c r="Q17" i="1" l="1"/>
  <c r="M17" i="1"/>
  <c r="L18" i="1"/>
  <c r="O18" i="1" l="1"/>
  <c r="H18" i="1"/>
  <c r="M18" i="1" l="1"/>
  <c r="L19" i="1"/>
  <c r="Q18" i="1"/>
  <c r="P18" i="1"/>
  <c r="H19" i="1" l="1"/>
  <c r="O19" i="1"/>
  <c r="Q19" i="1" l="1"/>
  <c r="P19" i="1"/>
  <c r="M19" i="1"/>
  <c r="L20" i="1"/>
  <c r="H20" i="1" l="1"/>
  <c r="O20" i="1"/>
  <c r="P20" i="1" l="1"/>
  <c r="Q20" i="1"/>
  <c r="M20" i="1"/>
  <c r="L21" i="1"/>
  <c r="H21" i="1" l="1"/>
  <c r="O21" i="1"/>
  <c r="Q21" i="1" l="1"/>
  <c r="P21" i="1"/>
  <c r="L22" i="1"/>
  <c r="M21" i="1"/>
  <c r="O22" i="1" l="1"/>
  <c r="H22" i="1"/>
  <c r="M22" i="1" l="1"/>
  <c r="L23" i="1"/>
  <c r="Q22" i="1"/>
  <c r="P22" i="1"/>
  <c r="O23" i="1" l="1"/>
  <c r="H23" i="1"/>
  <c r="M23" i="1" l="1"/>
  <c r="L24" i="1"/>
  <c r="Q23" i="1"/>
  <c r="P23" i="1"/>
  <c r="H24" i="1" l="1"/>
  <c r="O24" i="1"/>
  <c r="Q24" i="1" l="1"/>
  <c r="P24" i="1"/>
  <c r="M24" i="1"/>
  <c r="L25" i="1"/>
  <c r="O25" i="1" l="1"/>
  <c r="H25" i="1"/>
  <c r="M25" i="1" l="1"/>
  <c r="L26" i="1"/>
  <c r="Q25" i="1"/>
  <c r="P25" i="1"/>
  <c r="O26" i="1" l="1"/>
  <c r="H26" i="1"/>
  <c r="M26" i="1" l="1"/>
  <c r="L27" i="1"/>
  <c r="P26" i="1"/>
  <c r="Q26" i="1"/>
  <c r="H27" i="1" l="1"/>
  <c r="O27" i="1"/>
  <c r="P27" i="1" l="1"/>
  <c r="Q27" i="1"/>
  <c r="M27" i="1"/>
  <c r="L28" i="1" l="1"/>
  <c r="O28" i="1" s="1"/>
  <c r="P28" i="1" l="1"/>
  <c r="Q28" i="1"/>
  <c r="M28" i="1"/>
  <c r="L29" i="1" l="1"/>
  <c r="O29" i="1" s="1"/>
  <c r="P29" i="1" s="1"/>
  <c r="H29" i="1"/>
  <c r="Q29" i="1" l="1"/>
  <c r="M29" i="1"/>
  <c r="L30" i="1" l="1"/>
  <c r="O30" i="1" s="1"/>
  <c r="H30" i="1"/>
  <c r="H37" i="1" s="1"/>
  <c r="H6" i="1" l="1"/>
  <c r="L13" i="1" s="1"/>
  <c r="O13" i="1" s="1"/>
  <c r="Q13" i="1" s="1"/>
  <c r="M30" i="1"/>
  <c r="P30" i="1"/>
  <c r="Q30" i="1"/>
  <c r="P13" i="1" l="1"/>
</calcChain>
</file>

<file path=xl/sharedStrings.xml><?xml version="1.0" encoding="utf-8"?>
<sst xmlns="http://schemas.openxmlformats.org/spreadsheetml/2006/main" count="42" uniqueCount="37">
  <si>
    <t>na</t>
  </si>
  <si>
    <t>403b Employee Contribution Limits</t>
  </si>
  <si>
    <t>Max Limit</t>
  </si>
  <si>
    <t>Over?</t>
  </si>
  <si>
    <t>Total Contributions</t>
  </si>
  <si>
    <t>ER Amount</t>
  </si>
  <si>
    <t>EE Amount</t>
  </si>
  <si>
    <t>Amount Over</t>
  </si>
  <si>
    <t>15 Year Used</t>
  </si>
  <si>
    <t>50+ Used</t>
  </si>
  <si>
    <t>50+ Max</t>
  </si>
  <si>
    <t>Years * $5,000</t>
  </si>
  <si>
    <t>Diff of LTD and Y*5000</t>
  </si>
  <si>
    <r>
      <t>Life-to-Date Contributions</t>
    </r>
    <r>
      <rPr>
        <vertAlign val="superscript"/>
        <sz val="11"/>
        <color indexed="8"/>
        <rFont val="Calibri"/>
        <family val="2"/>
      </rPr>
      <t>1</t>
    </r>
  </si>
  <si>
    <t>Eligible for 15 year?</t>
  </si>
  <si>
    <t>Name:</t>
  </si>
  <si>
    <t>Year of Birth:</t>
  </si>
  <si>
    <t>Yr Turned 50:</t>
  </si>
  <si>
    <t>15 Yrs Began:</t>
  </si>
  <si>
    <t>Current Provider:</t>
  </si>
  <si>
    <t>(if less than 0, ineligible for 15 yr catch-up)</t>
  </si>
  <si>
    <t>Years of Service</t>
  </si>
  <si>
    <t>Regular Max</t>
  </si>
  <si>
    <t>Total 15 Yr</t>
  </si>
  <si>
    <t>(current employer only)</t>
  </si>
  <si>
    <t>Available for 15 Year</t>
  </si>
  <si>
    <t>Actual-RegMax or 3000</t>
  </si>
  <si>
    <t>Max 15Yr</t>
  </si>
  <si>
    <t>15Yr calc</t>
  </si>
  <si>
    <r>
      <t>Year of FT</t>
    </r>
    <r>
      <rPr>
        <b/>
        <vertAlign val="superscript"/>
        <sz val="11"/>
        <color theme="1" tint="0.34998626667073579"/>
        <rFont val="Calibri"/>
        <family val="2"/>
      </rPr>
      <t>2</t>
    </r>
    <r>
      <rPr>
        <b/>
        <sz val="11"/>
        <color theme="1" tint="0.34998626667073579"/>
        <rFont val="Calibri"/>
        <family val="2"/>
      </rPr>
      <t xml:space="preserve"> Hire: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</si>
  <si>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 year employee was hired full-time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</si>
  <si>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 contact RIC if EE contributed prior to 2000</t>
    </r>
  </si>
  <si>
    <t>Total EE Amount</t>
  </si>
  <si>
    <t xml:space="preserve">Employer: </t>
  </si>
  <si>
    <r>
      <rPr>
        <vertAlign val="superscript"/>
        <sz val="11"/>
        <color indexed="8"/>
        <rFont val="Calibri"/>
        <family val="2"/>
      </rPr>
      <t xml:space="preserve">1 </t>
    </r>
    <r>
      <rPr>
        <sz val="11"/>
        <color theme="1"/>
        <rFont val="Calibri"/>
        <family val="2"/>
        <scheme val="minor"/>
      </rPr>
      <t>LTD for previous years, if unknown, EE contributions must have averaged under $5,000/yr to be eligble for 15 year catch-up</t>
    </r>
  </si>
  <si>
    <r>
      <t>Year</t>
    </r>
    <r>
      <rPr>
        <b/>
        <vertAlign val="superscript"/>
        <sz val="11"/>
        <color theme="3"/>
        <rFont val="Calibri"/>
        <family val="2"/>
      </rPr>
      <t>3</t>
    </r>
  </si>
  <si>
    <t>(contributions or previous years to all 403b providers while in your employ)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</si>
</sst>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m/d/yy;@"/>
  </numFmts>
  <fonts count="24" x14ac:knownFonts="1"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name val="Calibri"/>
      <family val="2"/>
    </font>
    <font>
      <b/>
      <sz val="12"/>
      <color indexed="60"/>
      <name val="Calibri"/>
      <family val="2"/>
    </font>
    <font>
      <b/>
      <sz val="11"/>
      <color indexed="60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11"/>
      <color indexed="8"/>
      <name val="Calibri"/>
      <family val="2"/>
    </font>
    <font>
      <b/>
      <sz val="11"/>
      <color rgb="FFC00000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</font>
    <font>
      <sz val="11"/>
      <color theme="3"/>
      <name val="Calibri"/>
      <family val="2"/>
      <scheme val="minor"/>
    </font>
    <font>
      <b/>
      <sz val="11"/>
      <color theme="1" tint="0.3499862666707357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vertAlign val="superscript"/>
      <sz val="11"/>
      <color theme="1" tint="0.34998626667073579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3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left"/>
    </xf>
    <xf numFmtId="165" fontId="7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1" fontId="0" fillId="0" borderId="0" xfId="0" applyNumberFormat="1" applyFill="1"/>
    <xf numFmtId="165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5" fillId="0" borderId="0" xfId="0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4" fontId="16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center"/>
    </xf>
    <xf numFmtId="165" fontId="17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/>
    </xf>
    <xf numFmtId="1" fontId="0" fillId="2" borderId="0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0" fontId="23" fillId="2" borderId="1" xfId="0" applyNumberFormat="1" applyFont="1" applyFill="1" applyBorder="1" applyAlignment="1">
      <alignment horizontal="center"/>
    </xf>
    <xf numFmtId="1" fontId="23" fillId="2" borderId="1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5" fontId="23" fillId="2" borderId="2" xfId="0" applyNumberFormat="1" applyFont="1" applyFill="1" applyBorder="1" applyAlignment="1">
      <alignment horizontal="center"/>
    </xf>
    <xf numFmtId="165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 applyAlignment="1"/>
    <xf numFmtId="164" fontId="8" fillId="0" borderId="0" xfId="0" applyNumberFormat="1" applyFont="1" applyFill="1" applyAlignment="1"/>
    <xf numFmtId="164" fontId="5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A19" workbookViewId="0">
      <selection activeCell="T12" sqref="T12"/>
    </sheetView>
  </sheetViews>
  <sheetFormatPr defaultRowHeight="15" x14ac:dyDescent="0.25"/>
  <cols>
    <col min="1" max="1" width="17" style="3" customWidth="1"/>
    <col min="2" max="2" width="18.28515625" style="48" bestFit="1" customWidth="1"/>
    <col min="3" max="3" width="14" style="2" customWidth="1"/>
    <col min="4" max="4" width="13" style="2" customWidth="1"/>
    <col min="5" max="5" width="18.7109375" style="2" customWidth="1"/>
    <col min="6" max="6" width="18.7109375" style="2" hidden="1" customWidth="1"/>
    <col min="7" max="7" width="20.7109375" style="2" hidden="1" customWidth="1"/>
    <col min="8" max="8" width="13.5703125" style="3" customWidth="1"/>
    <col min="9" max="10" width="20.7109375" style="3" hidden="1" customWidth="1"/>
    <col min="11" max="12" width="13.5703125" style="3" hidden="1" customWidth="1"/>
    <col min="13" max="13" width="10.42578125" style="4" hidden="1" customWidth="1"/>
    <col min="14" max="16" width="10.42578125" style="4" customWidth="1"/>
    <col min="17" max="17" width="12.5703125" style="4" bestFit="1" customWidth="1"/>
    <col min="18" max="18" width="10.42578125" style="4" customWidth="1"/>
    <col min="19" max="19" width="10.7109375" style="4" customWidth="1"/>
    <col min="20" max="20" width="11.140625" style="4" customWidth="1"/>
    <col min="21" max="21" width="9.140625" style="4"/>
    <col min="22" max="16384" width="9.140625" style="3"/>
  </cols>
  <sheetData>
    <row r="1" spans="1:23" x14ac:dyDescent="0.25">
      <c r="A1" s="32" t="s">
        <v>1</v>
      </c>
    </row>
    <row r="2" spans="1:23" x14ac:dyDescent="0.25">
      <c r="A2" s="1"/>
      <c r="E2" s="35" t="s">
        <v>14</v>
      </c>
      <c r="F2" s="35"/>
      <c r="G2" s="35"/>
    </row>
    <row r="3" spans="1:23" s="5" customFormat="1" ht="15.75" x14ac:dyDescent="0.25">
      <c r="A3" s="33" t="s">
        <v>15</v>
      </c>
      <c r="B3" s="49"/>
      <c r="C3" s="21"/>
      <c r="E3" s="24" t="s">
        <v>21</v>
      </c>
      <c r="F3" s="24"/>
      <c r="G3" s="24"/>
      <c r="H3" s="47">
        <f>IF(B6="", B6,A35-B6)</f>
        <v>0</v>
      </c>
      <c r="I3" s="45"/>
      <c r="J3" s="45"/>
      <c r="K3" s="22"/>
      <c r="L3" s="22"/>
      <c r="M3" s="22"/>
      <c r="N3" t="s">
        <v>24</v>
      </c>
      <c r="O3"/>
      <c r="P3" s="7"/>
      <c r="Q3" s="7"/>
      <c r="R3" s="8"/>
      <c r="S3" s="9"/>
      <c r="T3" s="10"/>
      <c r="U3" s="11"/>
      <c r="V3" s="11"/>
      <c r="W3" s="11"/>
    </row>
    <row r="4" spans="1:23" ht="17.25" x14ac:dyDescent="0.25">
      <c r="A4" s="34" t="s">
        <v>16</v>
      </c>
      <c r="B4" s="50"/>
      <c r="C4" s="20"/>
      <c r="E4" s="24" t="s">
        <v>13</v>
      </c>
      <c r="F4" s="24"/>
      <c r="G4" s="24"/>
      <c r="H4" s="4">
        <f>D37-D36</f>
        <v>0</v>
      </c>
      <c r="I4" s="42"/>
      <c r="J4" s="42"/>
      <c r="K4" s="22"/>
      <c r="L4" s="22"/>
      <c r="M4" s="22"/>
      <c r="N4" t="s">
        <v>36</v>
      </c>
      <c r="O4"/>
      <c r="P4" s="13"/>
      <c r="Q4" s="14"/>
      <c r="R4" s="15"/>
      <c r="S4" s="16"/>
      <c r="T4" s="17"/>
      <c r="U4" s="17"/>
      <c r="V4" s="4"/>
    </row>
    <row r="5" spans="1:23" ht="15.75" x14ac:dyDescent="0.25">
      <c r="A5" s="34" t="s">
        <v>17</v>
      </c>
      <c r="B5" s="18" t="str">
        <f>IF(B4=0,"na",B4+50)</f>
        <v>na</v>
      </c>
      <c r="C5" s="18"/>
      <c r="E5" s="24" t="s">
        <v>11</v>
      </c>
      <c r="F5" s="24"/>
      <c r="G5" s="24"/>
      <c r="H5" s="4">
        <f>H3*5000</f>
        <v>0</v>
      </c>
      <c r="I5" s="4"/>
      <c r="J5" s="4"/>
      <c r="K5" s="23"/>
      <c r="L5" s="23"/>
      <c r="M5" s="23"/>
      <c r="O5"/>
      <c r="P5" s="13"/>
      <c r="Q5" s="14"/>
      <c r="R5" s="15"/>
      <c r="S5" s="16"/>
      <c r="T5" s="17"/>
      <c r="U5" s="17"/>
      <c r="V5" s="4"/>
    </row>
    <row r="6" spans="1:23" ht="17.25" x14ac:dyDescent="0.25">
      <c r="A6" s="34" t="s">
        <v>29</v>
      </c>
      <c r="B6" s="50"/>
      <c r="C6" s="20"/>
      <c r="E6" s="24" t="s">
        <v>12</v>
      </c>
      <c r="F6" s="24"/>
      <c r="G6" s="24"/>
      <c r="H6" s="4">
        <f>H5-H4</f>
        <v>0</v>
      </c>
      <c r="I6" s="4"/>
      <c r="J6" s="4"/>
      <c r="K6" s="23"/>
      <c r="L6" s="23"/>
      <c r="M6" s="23"/>
      <c r="N6" t="s">
        <v>20</v>
      </c>
      <c r="O6"/>
      <c r="P6" s="13"/>
      <c r="Q6" s="14"/>
      <c r="R6" s="15"/>
      <c r="S6" s="16"/>
      <c r="T6" s="17"/>
      <c r="U6" s="17"/>
      <c r="V6" s="4"/>
    </row>
    <row r="7" spans="1:23" ht="15.75" x14ac:dyDescent="0.25">
      <c r="A7" s="34" t="s">
        <v>18</v>
      </c>
      <c r="B7" s="51" t="str">
        <f>IF(B6&lt;1,"na",IF(B6&lt;2006,B6+15,"na"))</f>
        <v>na</v>
      </c>
      <c r="C7" s="20"/>
      <c r="N7"/>
      <c r="O7" s="13"/>
      <c r="P7" s="14"/>
      <c r="Q7" s="15"/>
      <c r="R7" s="16"/>
      <c r="S7" s="17"/>
      <c r="T7" s="17"/>
    </row>
    <row r="8" spans="1:23" ht="15.75" x14ac:dyDescent="0.25">
      <c r="A8" s="34" t="s">
        <v>19</v>
      </c>
      <c r="B8" s="50"/>
      <c r="C8" s="19"/>
      <c r="F8" s="25"/>
      <c r="G8" s="25"/>
      <c r="M8" s="13"/>
      <c r="N8" s="13"/>
      <c r="O8" s="13"/>
      <c r="P8" s="14"/>
      <c r="Q8" s="15"/>
      <c r="R8" s="16"/>
      <c r="S8" s="17"/>
      <c r="T8" s="17"/>
    </row>
    <row r="9" spans="1:23" ht="15.75" x14ac:dyDescent="0.25">
      <c r="A9" s="34" t="s">
        <v>33</v>
      </c>
      <c r="B9" s="50"/>
      <c r="C9" s="6"/>
      <c r="M9" s="13"/>
      <c r="N9" s="13"/>
      <c r="O9" s="13"/>
      <c r="P9" s="14"/>
      <c r="Q9" s="15"/>
      <c r="R9" s="16"/>
      <c r="S9" s="17"/>
      <c r="T9" s="17"/>
    </row>
    <row r="10" spans="1:23" ht="15.75" x14ac:dyDescent="0.25">
      <c r="C10" s="6"/>
      <c r="M10" s="13"/>
      <c r="N10" s="13"/>
      <c r="O10" s="13"/>
      <c r="P10" s="14"/>
      <c r="Q10" s="15"/>
      <c r="R10" s="16"/>
      <c r="S10" s="17"/>
      <c r="T10" s="17"/>
    </row>
    <row r="11" spans="1:23" ht="15.75" x14ac:dyDescent="0.25">
      <c r="A11" s="12"/>
      <c r="B11" s="52"/>
      <c r="C11" s="6"/>
      <c r="M11" s="13"/>
      <c r="N11" s="13"/>
      <c r="O11" s="13"/>
      <c r="P11" s="14"/>
      <c r="Q11" s="15"/>
      <c r="R11" s="16"/>
      <c r="S11" s="17"/>
      <c r="T11" s="17"/>
    </row>
    <row r="12" spans="1:23" s="28" customFormat="1" ht="17.25" x14ac:dyDescent="0.25">
      <c r="A12" s="28" t="s">
        <v>35</v>
      </c>
      <c r="B12" s="53" t="s">
        <v>4</v>
      </c>
      <c r="C12" s="30" t="s">
        <v>5</v>
      </c>
      <c r="D12" s="30" t="s">
        <v>6</v>
      </c>
      <c r="E12" s="30" t="s">
        <v>22</v>
      </c>
      <c r="F12" s="38" t="s">
        <v>25</v>
      </c>
      <c r="G12" s="38" t="s">
        <v>26</v>
      </c>
      <c r="H12" s="30" t="s">
        <v>8</v>
      </c>
      <c r="I12" s="38" t="s">
        <v>12</v>
      </c>
      <c r="J12" s="38" t="s">
        <v>21</v>
      </c>
      <c r="K12" s="38" t="s">
        <v>28</v>
      </c>
      <c r="L12" s="38" t="s">
        <v>27</v>
      </c>
      <c r="M12" s="40" t="s">
        <v>9</v>
      </c>
      <c r="N12" s="28" t="s">
        <v>10</v>
      </c>
      <c r="O12" s="36" t="s">
        <v>2</v>
      </c>
      <c r="P12" s="36" t="s">
        <v>3</v>
      </c>
      <c r="Q12" s="36" t="s">
        <v>7</v>
      </c>
      <c r="R12" s="36"/>
      <c r="S12" s="36"/>
      <c r="T12" s="36"/>
      <c r="U12" s="36"/>
      <c r="V12" s="36"/>
    </row>
    <row r="13" spans="1:23" x14ac:dyDescent="0.25">
      <c r="A13" s="3">
        <v>2000</v>
      </c>
      <c r="B13" s="54"/>
      <c r="C13" s="41"/>
      <c r="D13" s="4">
        <f>B13-C13</f>
        <v>0</v>
      </c>
      <c r="E13" s="2">
        <v>10500</v>
      </c>
      <c r="F13" s="4">
        <f>IF(I13&lt;(J13*5000), 15000,0)</f>
        <v>15000</v>
      </c>
      <c r="G13" s="4">
        <f>IF(D13-E13&gt;3000,3000,IF(D13-E13&lt;0,0,D13-E13))</f>
        <v>0</v>
      </c>
      <c r="H13" s="4">
        <f>IF(B7&gt;A13,0,IF(G13=0,0,IF(G13&lt;F13,G13,F13)))</f>
        <v>0</v>
      </c>
      <c r="I13" s="4">
        <f>D13</f>
        <v>0</v>
      </c>
      <c r="J13" s="46">
        <f>A13-B6</f>
        <v>2000</v>
      </c>
      <c r="K13" s="4">
        <f>IF(B7&lt;=A13,3000,0)</f>
        <v>0</v>
      </c>
      <c r="L13" s="4">
        <f>IF(F13&lt;3000,F13,K13)</f>
        <v>0</v>
      </c>
      <c r="M13" s="4" t="s">
        <v>0</v>
      </c>
      <c r="N13" s="4" t="s">
        <v>0</v>
      </c>
      <c r="O13" s="2">
        <f>E13+L13</f>
        <v>10500</v>
      </c>
      <c r="P13" s="4" t="str">
        <f t="shared" ref="P13:P36" si="0">IF(D13&gt;O13,"yes","no")</f>
        <v>no</v>
      </c>
      <c r="Q13" s="4">
        <f t="shared" ref="Q13:Q36" si="1">IF(D13-O13&gt;0,D13-O13,0)</f>
        <v>0</v>
      </c>
      <c r="V13" s="4"/>
    </row>
    <row r="14" spans="1:23" x14ac:dyDescent="0.25">
      <c r="A14" s="3">
        <v>2001</v>
      </c>
      <c r="B14" s="54"/>
      <c r="C14" s="41"/>
      <c r="D14" s="4">
        <f t="shared" ref="D14:D26" si="2">B14-C14</f>
        <v>0</v>
      </c>
      <c r="E14" s="2">
        <v>10500</v>
      </c>
      <c r="F14" s="4">
        <f t="shared" ref="F14:F36" si="3">IF(I13&lt;(J14*5000), 15000,0)</f>
        <v>15000</v>
      </c>
      <c r="G14" s="4">
        <f t="shared" ref="G14:G26" si="4">IF(D14-E14&gt;3000,3000,IF(D14-E14&lt;0,0,D14-E14))</f>
        <v>0</v>
      </c>
      <c r="H14" s="4">
        <f>IF(B7&gt;A14,0,IF(G14=0,0,IF(G14&lt;F14,G14,F14)))</f>
        <v>0</v>
      </c>
      <c r="I14" s="4">
        <f>D13+D14</f>
        <v>0</v>
      </c>
      <c r="J14" s="46">
        <f>A14-B6</f>
        <v>2001</v>
      </c>
      <c r="K14" s="4">
        <f>IF(B7&lt;=A14,3000,0)</f>
        <v>0</v>
      </c>
      <c r="L14" s="4">
        <f t="shared" ref="L14:L36" si="5">IF(F14&lt;3000,F14,K14)</f>
        <v>0</v>
      </c>
      <c r="M14" s="4" t="s">
        <v>0</v>
      </c>
      <c r="N14" s="4" t="s">
        <v>0</v>
      </c>
      <c r="O14" s="2">
        <f>E14+L14</f>
        <v>10500</v>
      </c>
      <c r="P14" s="4" t="str">
        <f t="shared" si="0"/>
        <v>no</v>
      </c>
      <c r="Q14" s="4">
        <f t="shared" si="1"/>
        <v>0</v>
      </c>
      <c r="V14" s="4"/>
    </row>
    <row r="15" spans="1:23" x14ac:dyDescent="0.25">
      <c r="A15" s="3">
        <v>2002</v>
      </c>
      <c r="B15" s="54"/>
      <c r="C15" s="41"/>
      <c r="D15" s="4">
        <f t="shared" si="2"/>
        <v>0</v>
      </c>
      <c r="E15" s="2">
        <v>11000</v>
      </c>
      <c r="F15" s="4">
        <f t="shared" si="3"/>
        <v>15000</v>
      </c>
      <c r="G15" s="4">
        <f t="shared" si="4"/>
        <v>0</v>
      </c>
      <c r="H15" s="4">
        <f>IF(B7&gt;A15,0,IF(G15=0,0,IF(G15&lt;F15,G15,F15)))</f>
        <v>0</v>
      </c>
      <c r="I15" s="4">
        <f>SUM(D13:D15)</f>
        <v>0</v>
      </c>
      <c r="J15" s="46">
        <f>A15-B6</f>
        <v>2002</v>
      </c>
      <c r="K15" s="4">
        <f>IF(B7&lt;=A15,3000,0)</f>
        <v>0</v>
      </c>
      <c r="L15" s="4">
        <f t="shared" si="5"/>
        <v>0</v>
      </c>
      <c r="M15" s="4">
        <f>IF(D15-E15-H15&lt;0,0,IF(D15-E15-H15&gt;1000,1000,D15-E15-H15))</f>
        <v>0</v>
      </c>
      <c r="N15" s="4">
        <f>IF(B5&lt;=A15,1000,0)</f>
        <v>0</v>
      </c>
      <c r="O15" s="2">
        <f>IF(B5&lt;=A15,E15+L15+N15,E15+L15)</f>
        <v>11000</v>
      </c>
      <c r="P15" s="4" t="str">
        <f t="shared" si="0"/>
        <v>no</v>
      </c>
      <c r="Q15" s="4">
        <f t="shared" si="1"/>
        <v>0</v>
      </c>
      <c r="V15" s="4"/>
    </row>
    <row r="16" spans="1:23" x14ac:dyDescent="0.25">
      <c r="A16" s="3">
        <v>2003</v>
      </c>
      <c r="B16" s="54"/>
      <c r="C16" s="41"/>
      <c r="D16" s="4">
        <f t="shared" si="2"/>
        <v>0</v>
      </c>
      <c r="E16" s="2">
        <v>12000</v>
      </c>
      <c r="F16" s="4">
        <f t="shared" si="3"/>
        <v>15000</v>
      </c>
      <c r="G16" s="4">
        <f t="shared" si="4"/>
        <v>0</v>
      </c>
      <c r="H16" s="4">
        <f>IF(B7&gt;A16,0,IF(G16=0,0,IF(G16&lt;F16,G16,F16)))</f>
        <v>0</v>
      </c>
      <c r="I16" s="4">
        <f>SUM(D13:D16)</f>
        <v>0</v>
      </c>
      <c r="J16" s="46">
        <f>A16-B6</f>
        <v>2003</v>
      </c>
      <c r="K16" s="4">
        <f>IF(B7&lt;=A16,3000,0)</f>
        <v>0</v>
      </c>
      <c r="L16" s="4">
        <f t="shared" si="5"/>
        <v>0</v>
      </c>
      <c r="M16" s="4">
        <f>IF(D16-E16-H16&lt;0,0,IF(D16-E16-H16&gt;2000,2000,D16-E16-H16))</f>
        <v>0</v>
      </c>
      <c r="N16" s="4">
        <f>IF(B5&lt;=A16,2000,0)</f>
        <v>0</v>
      </c>
      <c r="O16" s="2">
        <f>IF(B5&lt;=A16,E16+L16+N16,E16+L16)</f>
        <v>12000</v>
      </c>
      <c r="P16" s="4" t="str">
        <f t="shared" si="0"/>
        <v>no</v>
      </c>
      <c r="Q16" s="4">
        <f t="shared" si="1"/>
        <v>0</v>
      </c>
      <c r="V16" s="4"/>
    </row>
    <row r="17" spans="1:22" x14ac:dyDescent="0.25">
      <c r="A17" s="3">
        <v>2004</v>
      </c>
      <c r="B17" s="54"/>
      <c r="C17" s="41"/>
      <c r="D17" s="4">
        <f t="shared" si="2"/>
        <v>0</v>
      </c>
      <c r="E17" s="2">
        <v>13000</v>
      </c>
      <c r="F17" s="4">
        <f t="shared" si="3"/>
        <v>15000</v>
      </c>
      <c r="G17" s="4">
        <f t="shared" si="4"/>
        <v>0</v>
      </c>
      <c r="H17" s="4">
        <f>IF(B7&gt;A17,0,IF(G17=0,0,IF(G17&lt;F17,G17,F17)))</f>
        <v>0</v>
      </c>
      <c r="I17" s="4">
        <f>SUM(D13:D17)</f>
        <v>0</v>
      </c>
      <c r="J17" s="46">
        <f>A17-B6</f>
        <v>2004</v>
      </c>
      <c r="K17" s="4">
        <f>IF(B7&lt;=A17,3000,0)</f>
        <v>0</v>
      </c>
      <c r="L17" s="4">
        <f t="shared" si="5"/>
        <v>0</v>
      </c>
      <c r="M17" s="4">
        <f>IF(D17-E17-H17&lt;0,0,IF(D17-E17-H17&gt;3000,3000,D17-E17-H17))</f>
        <v>0</v>
      </c>
      <c r="N17" s="4">
        <f>IF(B5&lt;=A17,3000,0)</f>
        <v>0</v>
      </c>
      <c r="O17" s="2">
        <f>IF(B5&lt;=A17,E17+L17+N17,E17+L17)</f>
        <v>13000</v>
      </c>
      <c r="P17" s="4" t="str">
        <f t="shared" si="0"/>
        <v>no</v>
      </c>
      <c r="Q17" s="4">
        <f t="shared" si="1"/>
        <v>0</v>
      </c>
      <c r="V17" s="4"/>
    </row>
    <row r="18" spans="1:22" x14ac:dyDescent="0.25">
      <c r="A18" s="3">
        <v>2005</v>
      </c>
      <c r="B18" s="54"/>
      <c r="C18" s="41"/>
      <c r="D18" s="4">
        <f t="shared" si="2"/>
        <v>0</v>
      </c>
      <c r="E18" s="2">
        <v>14000</v>
      </c>
      <c r="F18" s="4">
        <f t="shared" si="3"/>
        <v>15000</v>
      </c>
      <c r="G18" s="4">
        <f t="shared" si="4"/>
        <v>0</v>
      </c>
      <c r="H18" s="4">
        <f>IF(B7&gt;A18,0,IF(G18=0,0,IF(G18&lt;F18,G18,F18)))</f>
        <v>0</v>
      </c>
      <c r="I18" s="4">
        <f>SUM(D13:D18)</f>
        <v>0</v>
      </c>
      <c r="J18" s="46">
        <f>A18-B6</f>
        <v>2005</v>
      </c>
      <c r="K18" s="4">
        <f>IF(B7&lt;=A18,3000,0)</f>
        <v>0</v>
      </c>
      <c r="L18" s="4">
        <f t="shared" si="5"/>
        <v>0</v>
      </c>
      <c r="M18" s="4">
        <f>IF(D18-E18-H18&lt;0,0,IF(D18-E18-H18&gt;4000,4000,D18-E18-H18))</f>
        <v>0</v>
      </c>
      <c r="N18" s="4">
        <f>IF(B5&lt;=A18,4000,0)</f>
        <v>0</v>
      </c>
      <c r="O18" s="2">
        <f>IF(B5&lt;=A18,E18+L18+N18,E18+L18)</f>
        <v>14000</v>
      </c>
      <c r="P18" s="4" t="str">
        <f t="shared" si="0"/>
        <v>no</v>
      </c>
      <c r="Q18" s="4">
        <f t="shared" si="1"/>
        <v>0</v>
      </c>
      <c r="V18" s="4"/>
    </row>
    <row r="19" spans="1:22" x14ac:dyDescent="0.25">
      <c r="A19" s="3">
        <v>2006</v>
      </c>
      <c r="B19" s="54"/>
      <c r="C19" s="41"/>
      <c r="D19" s="4">
        <f t="shared" si="2"/>
        <v>0</v>
      </c>
      <c r="E19" s="2">
        <v>15000</v>
      </c>
      <c r="F19" s="4">
        <f t="shared" si="3"/>
        <v>15000</v>
      </c>
      <c r="G19" s="4">
        <f t="shared" si="4"/>
        <v>0</v>
      </c>
      <c r="H19" s="4">
        <f>IF(B7&gt;A19,0,IF(G19=0,0,IF(G19&lt;F19,G19,F19)))</f>
        <v>0</v>
      </c>
      <c r="I19" s="4">
        <f>SUM(D13:D19)</f>
        <v>0</v>
      </c>
      <c r="J19" s="46">
        <f>A19-B6</f>
        <v>2006</v>
      </c>
      <c r="K19" s="4">
        <f>IF(B7&lt;=A19,3000,0)</f>
        <v>0</v>
      </c>
      <c r="L19" s="4">
        <f t="shared" si="5"/>
        <v>0</v>
      </c>
      <c r="M19" s="4">
        <f>IF(D19-E19-H19&lt;0,0,IF(D19-E19-H19&gt;5000,5000,D19-E19-H19))</f>
        <v>0</v>
      </c>
      <c r="N19" s="4">
        <f>IF(B5&lt;=A19,5000,0)</f>
        <v>0</v>
      </c>
      <c r="O19" s="2">
        <f>IF(B5&lt;=A19,E19+L19+N19,E19+L19)</f>
        <v>15000</v>
      </c>
      <c r="P19" s="4" t="str">
        <f t="shared" si="0"/>
        <v>no</v>
      </c>
      <c r="Q19" s="4">
        <f t="shared" si="1"/>
        <v>0</v>
      </c>
      <c r="V19" s="4"/>
    </row>
    <row r="20" spans="1:22" x14ac:dyDescent="0.25">
      <c r="A20" s="3">
        <v>2007</v>
      </c>
      <c r="B20" s="54"/>
      <c r="C20" s="41"/>
      <c r="D20" s="4">
        <f t="shared" si="2"/>
        <v>0</v>
      </c>
      <c r="E20" s="2">
        <v>15500</v>
      </c>
      <c r="F20" s="4">
        <f t="shared" si="3"/>
        <v>15000</v>
      </c>
      <c r="G20" s="4">
        <f t="shared" si="4"/>
        <v>0</v>
      </c>
      <c r="H20" s="4">
        <f>IF(B7&gt;A20,0,IF(G20=0,0,IF(G20&lt;F20,G20,F20)))</f>
        <v>0</v>
      </c>
      <c r="I20" s="4">
        <f>SUM(D13:D20)</f>
        <v>0</v>
      </c>
      <c r="J20" s="46">
        <f>A20-B6</f>
        <v>2007</v>
      </c>
      <c r="K20" s="4">
        <f>IF(B7&lt;=A20,3000,0)</f>
        <v>0</v>
      </c>
      <c r="L20" s="4">
        <f t="shared" si="5"/>
        <v>0</v>
      </c>
      <c r="M20" s="4">
        <f>IF(D20-E20-H20&lt;0,0,IF(D20-E20-H20&gt;5000,5000,D20-E20-H20))</f>
        <v>0</v>
      </c>
      <c r="N20" s="4">
        <f>IF(B5&lt;=A20,5000,0)</f>
        <v>0</v>
      </c>
      <c r="O20" s="2">
        <f>IF(B5&lt;=A20,E20+L20+N20,E20+L20)</f>
        <v>15500</v>
      </c>
      <c r="P20" s="4" t="str">
        <f t="shared" si="0"/>
        <v>no</v>
      </c>
      <c r="Q20" s="4">
        <f t="shared" si="1"/>
        <v>0</v>
      </c>
      <c r="V20" s="4"/>
    </row>
    <row r="21" spans="1:22" x14ac:dyDescent="0.25">
      <c r="A21" s="3">
        <v>2008</v>
      </c>
      <c r="B21" s="54"/>
      <c r="C21" s="41"/>
      <c r="D21" s="4">
        <f t="shared" si="2"/>
        <v>0</v>
      </c>
      <c r="E21" s="2">
        <v>15500</v>
      </c>
      <c r="F21" s="4">
        <f t="shared" si="3"/>
        <v>15000</v>
      </c>
      <c r="G21" s="4">
        <f t="shared" si="4"/>
        <v>0</v>
      </c>
      <c r="H21" s="4">
        <f>IF(B7&gt;A21,0,IF(G21=0,0,IF(G21&lt;F21,G21,F21)))</f>
        <v>0</v>
      </c>
      <c r="I21" s="4">
        <f>SUM(D13:D21)</f>
        <v>0</v>
      </c>
      <c r="J21" s="46">
        <f>A21-B6</f>
        <v>2008</v>
      </c>
      <c r="K21" s="4">
        <f>IF(B7&lt;=A21,3000,0)</f>
        <v>0</v>
      </c>
      <c r="L21" s="4">
        <f t="shared" si="5"/>
        <v>0</v>
      </c>
      <c r="M21" s="4">
        <f>IF(D21-E21-H21&lt;0,0,IF(D21-E21-H21&gt;5000,5000,D21-E21-H21))</f>
        <v>0</v>
      </c>
      <c r="N21" s="4">
        <f>IF(B5&lt;=A21,5000,0)</f>
        <v>0</v>
      </c>
      <c r="O21" s="2">
        <f>IF(B5&lt;=A21,E21+L21+N21,E21+L21)</f>
        <v>15500</v>
      </c>
      <c r="P21" s="4" t="str">
        <f t="shared" si="0"/>
        <v>no</v>
      </c>
      <c r="Q21" s="4">
        <f t="shared" si="1"/>
        <v>0</v>
      </c>
      <c r="V21" s="4"/>
    </row>
    <row r="22" spans="1:22" x14ac:dyDescent="0.25">
      <c r="A22" s="3">
        <v>2009</v>
      </c>
      <c r="B22" s="54"/>
      <c r="C22" s="41"/>
      <c r="D22" s="4">
        <f t="shared" si="2"/>
        <v>0</v>
      </c>
      <c r="E22" s="2">
        <v>16500</v>
      </c>
      <c r="F22" s="4">
        <f t="shared" si="3"/>
        <v>15000</v>
      </c>
      <c r="G22" s="4">
        <f t="shared" si="4"/>
        <v>0</v>
      </c>
      <c r="H22" s="4">
        <f>IF(B7&gt;A22,0,IF(G22=0,0,IF(G22&lt;F22,G22,F22)))</f>
        <v>0</v>
      </c>
      <c r="I22" s="4">
        <f>SUM(D13:D22)</f>
        <v>0</v>
      </c>
      <c r="J22" s="46">
        <f>A22-B6</f>
        <v>2009</v>
      </c>
      <c r="K22" s="4">
        <f>IF(B7&lt;=A22,3000,0)</f>
        <v>0</v>
      </c>
      <c r="L22" s="4">
        <f t="shared" si="5"/>
        <v>0</v>
      </c>
      <c r="M22" s="4">
        <f t="shared" ref="M22:M27" si="6">IF(D22-E22-H22&lt;0,0,IF(D22-E22-H22&gt;5500,5500,D22-E22-H22))</f>
        <v>0</v>
      </c>
      <c r="N22" s="4">
        <f>IF(B5&lt;=A22,5500,0)</f>
        <v>0</v>
      </c>
      <c r="O22" s="2">
        <f>IF(B5&lt;=A22,E22+L22+N22,E22+L22)</f>
        <v>16500</v>
      </c>
      <c r="P22" s="4" t="str">
        <f t="shared" si="0"/>
        <v>no</v>
      </c>
      <c r="Q22" s="4">
        <f t="shared" si="1"/>
        <v>0</v>
      </c>
      <c r="V22" s="4"/>
    </row>
    <row r="23" spans="1:22" x14ac:dyDescent="0.25">
      <c r="A23" s="3">
        <v>2010</v>
      </c>
      <c r="B23" s="54"/>
      <c r="C23" s="41"/>
      <c r="D23" s="4">
        <f t="shared" si="2"/>
        <v>0</v>
      </c>
      <c r="E23" s="2">
        <v>16500</v>
      </c>
      <c r="F23" s="4">
        <f t="shared" si="3"/>
        <v>15000</v>
      </c>
      <c r="G23" s="4">
        <f t="shared" si="4"/>
        <v>0</v>
      </c>
      <c r="H23" s="4">
        <f>IF(B7&gt;A23,0,IF(G23=0,0,IF(G23&lt;F23,G23,F23)))</f>
        <v>0</v>
      </c>
      <c r="I23" s="4">
        <f>SUM(D13:D23)</f>
        <v>0</v>
      </c>
      <c r="J23" s="46">
        <f>A23-B6</f>
        <v>2010</v>
      </c>
      <c r="K23" s="4">
        <f>IF(B7&lt;=A23,3000,0)</f>
        <v>0</v>
      </c>
      <c r="L23" s="4">
        <f t="shared" si="5"/>
        <v>0</v>
      </c>
      <c r="M23" s="4">
        <f t="shared" si="6"/>
        <v>0</v>
      </c>
      <c r="N23" s="4">
        <f>IF(B5&lt;=A23,5500,0)</f>
        <v>0</v>
      </c>
      <c r="O23" s="2">
        <f>IF(B5&lt;=A23,E23+L23+N23,E23+L23)</f>
        <v>16500</v>
      </c>
      <c r="P23" s="4" t="str">
        <f t="shared" si="0"/>
        <v>no</v>
      </c>
      <c r="Q23" s="4">
        <f t="shared" si="1"/>
        <v>0</v>
      </c>
      <c r="V23" s="4"/>
    </row>
    <row r="24" spans="1:22" x14ac:dyDescent="0.25">
      <c r="A24" s="3">
        <v>2011</v>
      </c>
      <c r="B24" s="54"/>
      <c r="C24" s="41"/>
      <c r="D24" s="4">
        <f t="shared" si="2"/>
        <v>0</v>
      </c>
      <c r="E24" s="2">
        <v>16500</v>
      </c>
      <c r="F24" s="4">
        <f t="shared" si="3"/>
        <v>15000</v>
      </c>
      <c r="G24" s="4">
        <f t="shared" si="4"/>
        <v>0</v>
      </c>
      <c r="H24" s="4">
        <f>IF(B7&gt;A24,0,IF(G24=0,0,IF(G24&lt;F24,G24,F24)))</f>
        <v>0</v>
      </c>
      <c r="I24" s="4">
        <f>SUM(D13:D24)</f>
        <v>0</v>
      </c>
      <c r="J24" s="46">
        <f>A24-B6</f>
        <v>2011</v>
      </c>
      <c r="K24" s="4">
        <f>IF(B7&lt;=A24,3000,0)</f>
        <v>0</v>
      </c>
      <c r="L24" s="4">
        <f t="shared" si="5"/>
        <v>0</v>
      </c>
      <c r="M24" s="4">
        <f t="shared" si="6"/>
        <v>0</v>
      </c>
      <c r="N24" s="4">
        <f>IF(B5&lt;=A24,5500,0)</f>
        <v>0</v>
      </c>
      <c r="O24" s="2">
        <f>IF(B5&lt;=A24,E24+L24+N24,E24+L24)</f>
        <v>16500</v>
      </c>
      <c r="P24" s="4" t="str">
        <f t="shared" si="0"/>
        <v>no</v>
      </c>
      <c r="Q24" s="4">
        <f t="shared" si="1"/>
        <v>0</v>
      </c>
      <c r="V24" s="4"/>
    </row>
    <row r="25" spans="1:22" x14ac:dyDescent="0.25">
      <c r="A25" s="3">
        <v>2012</v>
      </c>
      <c r="B25" s="54"/>
      <c r="C25" s="41"/>
      <c r="D25" s="4">
        <f t="shared" si="2"/>
        <v>0</v>
      </c>
      <c r="E25" s="2">
        <v>17000</v>
      </c>
      <c r="F25" s="4">
        <f t="shared" si="3"/>
        <v>15000</v>
      </c>
      <c r="G25" s="4">
        <f t="shared" si="4"/>
        <v>0</v>
      </c>
      <c r="H25" s="4">
        <f>IF(B7&gt;A25,0,IF(G25=0,0,IF(G25&lt;F25,G25,F25)))</f>
        <v>0</v>
      </c>
      <c r="I25" s="4">
        <f>SUM(D13:D25)</f>
        <v>0</v>
      </c>
      <c r="J25" s="46">
        <f>A25-B6</f>
        <v>2012</v>
      </c>
      <c r="K25" s="4">
        <f>IF(B7&lt;=A25,3000,0)</f>
        <v>0</v>
      </c>
      <c r="L25" s="4">
        <f t="shared" si="5"/>
        <v>0</v>
      </c>
      <c r="M25" s="4">
        <f t="shared" si="6"/>
        <v>0</v>
      </c>
      <c r="N25" s="4">
        <f>IF(B5&lt;=A25,5500,0)</f>
        <v>0</v>
      </c>
      <c r="O25" s="2">
        <f>IF(B5&lt;=A25,E25+L25+N25,E25+L25)</f>
        <v>17000</v>
      </c>
      <c r="P25" s="4" t="str">
        <f t="shared" si="0"/>
        <v>no</v>
      </c>
      <c r="Q25" s="4">
        <f t="shared" si="1"/>
        <v>0</v>
      </c>
      <c r="V25" s="4"/>
    </row>
    <row r="26" spans="1:22" x14ac:dyDescent="0.25">
      <c r="A26" s="3">
        <v>2013</v>
      </c>
      <c r="B26" s="54"/>
      <c r="C26" s="41"/>
      <c r="D26" s="4">
        <f t="shared" si="2"/>
        <v>0</v>
      </c>
      <c r="E26" s="2">
        <v>17500</v>
      </c>
      <c r="F26" s="4">
        <f t="shared" si="3"/>
        <v>15000</v>
      </c>
      <c r="G26" s="4">
        <f t="shared" si="4"/>
        <v>0</v>
      </c>
      <c r="H26" s="4">
        <f>IF(B7&gt;A26,0,IF(G26=0,0,IF(G26&lt;F26,G26,F26)))</f>
        <v>0</v>
      </c>
      <c r="I26" s="4">
        <f>SUM(D13:D26)</f>
        <v>0</v>
      </c>
      <c r="J26" s="46">
        <f>A26-B6</f>
        <v>2013</v>
      </c>
      <c r="K26" s="4">
        <f>IF(B7&lt;=A26,3000,0)</f>
        <v>0</v>
      </c>
      <c r="L26" s="4">
        <f t="shared" si="5"/>
        <v>0</v>
      </c>
      <c r="M26" s="4">
        <f t="shared" si="6"/>
        <v>0</v>
      </c>
      <c r="N26" s="4">
        <f>IF(B5&lt;=A26,5500,0)</f>
        <v>0</v>
      </c>
      <c r="O26" s="2">
        <f>IF(B5&lt;=A26,E26+L26+N26,E26+L26)</f>
        <v>17500</v>
      </c>
      <c r="P26" s="4" t="str">
        <f t="shared" si="0"/>
        <v>no</v>
      </c>
      <c r="Q26" s="4">
        <f t="shared" si="1"/>
        <v>0</v>
      </c>
      <c r="V26" s="4"/>
    </row>
    <row r="27" spans="1:22" x14ac:dyDescent="0.25">
      <c r="A27" s="3">
        <v>2014</v>
      </c>
      <c r="B27" s="54"/>
      <c r="C27" s="41"/>
      <c r="D27" s="4">
        <f t="shared" ref="D27:D36" si="7">B27-C27</f>
        <v>0</v>
      </c>
      <c r="E27" s="2">
        <v>17500</v>
      </c>
      <c r="F27" s="4">
        <f t="shared" si="3"/>
        <v>15000</v>
      </c>
      <c r="G27" s="4">
        <f t="shared" ref="G27:G36" si="8">IF(D27-E27&gt;3000,3000,IF(D27-E27&lt;0,0,D27-E27))</f>
        <v>0</v>
      </c>
      <c r="H27" s="4">
        <f>IF(B7&gt;A27,0,IF(G27=0,0,IF(G27&lt;F27,G27,F27)))</f>
        <v>0</v>
      </c>
      <c r="I27" s="4">
        <f>SUM(D13:D27)</f>
        <v>0</v>
      </c>
      <c r="J27" s="46">
        <f>A27-B6</f>
        <v>2014</v>
      </c>
      <c r="K27" s="4">
        <f>IF(B7&lt;=A27,3000,0)</f>
        <v>0</v>
      </c>
      <c r="L27" s="4">
        <f t="shared" si="5"/>
        <v>0</v>
      </c>
      <c r="M27" s="4">
        <f t="shared" si="6"/>
        <v>0</v>
      </c>
      <c r="N27" s="4">
        <f>IF(B5&lt;=A27,5500,0)</f>
        <v>0</v>
      </c>
      <c r="O27" s="2">
        <f>IF(B5&lt;=A27,E27+L27+N27,E27+L27)</f>
        <v>17500</v>
      </c>
      <c r="P27" s="4" t="str">
        <f t="shared" si="0"/>
        <v>no</v>
      </c>
      <c r="Q27" s="4">
        <f t="shared" si="1"/>
        <v>0</v>
      </c>
      <c r="V27" s="4"/>
    </row>
    <row r="28" spans="1:22" x14ac:dyDescent="0.25">
      <c r="A28" s="3">
        <v>2015</v>
      </c>
      <c r="B28" s="54"/>
      <c r="C28" s="41"/>
      <c r="D28" s="4">
        <f t="shared" si="7"/>
        <v>0</v>
      </c>
      <c r="E28" s="2">
        <v>18000</v>
      </c>
      <c r="F28" s="4">
        <f t="shared" si="3"/>
        <v>15000</v>
      </c>
      <c r="G28" s="4">
        <f t="shared" si="8"/>
        <v>0</v>
      </c>
      <c r="H28" s="4">
        <f>IF(B7&gt;A28,0,IF(G28=0,0,IF(G28&lt;F28,G28,F28)))</f>
        <v>0</v>
      </c>
      <c r="I28" s="4">
        <f>SUM(D13:D28)</f>
        <v>0</v>
      </c>
      <c r="J28" s="46">
        <f>A28-B6</f>
        <v>2015</v>
      </c>
      <c r="K28" s="4">
        <f>IF(B7&lt;=A28,3000,0)</f>
        <v>0</v>
      </c>
      <c r="L28" s="4">
        <f t="shared" si="5"/>
        <v>0</v>
      </c>
      <c r="M28" s="4">
        <f>IF(D28-E28-H28&lt;0,0,IF(D28-E28-H28&gt;6000,6000,D28-E28-H28))</f>
        <v>0</v>
      </c>
      <c r="N28" s="4">
        <f>IF(B5&lt;=A28,6000,0)</f>
        <v>0</v>
      </c>
      <c r="O28" s="2">
        <f>IF(B5&lt;=A28,E28+L28+N28,E28+L28)</f>
        <v>18000</v>
      </c>
      <c r="P28" s="4" t="str">
        <f t="shared" si="0"/>
        <v>no</v>
      </c>
      <c r="Q28" s="4">
        <f t="shared" si="1"/>
        <v>0</v>
      </c>
      <c r="V28" s="4"/>
    </row>
    <row r="29" spans="1:22" x14ac:dyDescent="0.25">
      <c r="A29" s="3">
        <v>2016</v>
      </c>
      <c r="B29" s="54"/>
      <c r="C29" s="41"/>
      <c r="D29" s="4">
        <f t="shared" si="7"/>
        <v>0</v>
      </c>
      <c r="E29" s="2">
        <v>18000</v>
      </c>
      <c r="F29" s="4">
        <f t="shared" si="3"/>
        <v>15000</v>
      </c>
      <c r="G29" s="4">
        <f t="shared" si="8"/>
        <v>0</v>
      </c>
      <c r="H29" s="4">
        <f>IF(B7&gt;A29,0,IF(G29=0,0,IF(G29&lt;F29,G29,F29)))</f>
        <v>0</v>
      </c>
      <c r="I29" s="4">
        <f>SUM(D13:D29)</f>
        <v>0</v>
      </c>
      <c r="J29" s="46">
        <f>A29-B6</f>
        <v>2016</v>
      </c>
      <c r="K29" s="4">
        <f>IF(B7&lt;=A29,3000,0)</f>
        <v>0</v>
      </c>
      <c r="L29" s="4">
        <f t="shared" si="5"/>
        <v>0</v>
      </c>
      <c r="M29" s="4">
        <f>IF(D29-E29-H29&lt;0,0,IF(D29-E29-H29&gt;6000,6000,D29-E29-H29))</f>
        <v>0</v>
      </c>
      <c r="N29" s="4">
        <f>IF(B5&lt;=A29,6000,0)</f>
        <v>0</v>
      </c>
      <c r="O29" s="2">
        <f>IF(B5&lt;=A29,E29+L29+N29,E29+L29)</f>
        <v>18000</v>
      </c>
      <c r="P29" s="4" t="str">
        <f t="shared" si="0"/>
        <v>no</v>
      </c>
      <c r="Q29" s="4">
        <f t="shared" si="1"/>
        <v>0</v>
      </c>
      <c r="V29" s="4"/>
    </row>
    <row r="30" spans="1:22" x14ac:dyDescent="0.25">
      <c r="A30" s="3">
        <v>2017</v>
      </c>
      <c r="B30" s="54"/>
      <c r="C30" s="41"/>
      <c r="D30" s="4">
        <f t="shared" si="7"/>
        <v>0</v>
      </c>
      <c r="E30" s="2">
        <v>18000</v>
      </c>
      <c r="F30" s="4">
        <f t="shared" si="3"/>
        <v>15000</v>
      </c>
      <c r="G30" s="4">
        <f t="shared" si="8"/>
        <v>0</v>
      </c>
      <c r="H30" s="4">
        <f>IF(B7&gt;A30,0,IF(G30=0,0,IF(G30&lt;F30,G30,F30)))</f>
        <v>0</v>
      </c>
      <c r="I30" s="4">
        <f>SUM(D13:D30)</f>
        <v>0</v>
      </c>
      <c r="J30" s="46">
        <f>A30-B6</f>
        <v>2017</v>
      </c>
      <c r="K30" s="4">
        <f>IF(B7&lt;=A30,3000,0)</f>
        <v>0</v>
      </c>
      <c r="L30" s="4">
        <f t="shared" si="5"/>
        <v>0</v>
      </c>
      <c r="M30" s="4">
        <f>IF(D30-E30-H30&lt;0,0,IF(D30-E30-H30&gt;6000,6000,D30-E30-H30))</f>
        <v>0</v>
      </c>
      <c r="N30" s="4">
        <f>IF(B5&lt;=A30,6000,0)</f>
        <v>0</v>
      </c>
      <c r="O30" s="2">
        <f>IF(B5&lt;=A30,E30+L30+N30,E30+L30)</f>
        <v>18000</v>
      </c>
      <c r="P30" s="4" t="str">
        <f t="shared" si="0"/>
        <v>no</v>
      </c>
      <c r="Q30" s="4">
        <f t="shared" si="1"/>
        <v>0</v>
      </c>
      <c r="V30" s="4"/>
    </row>
    <row r="31" spans="1:22" x14ac:dyDescent="0.25">
      <c r="A31" s="3">
        <v>2018</v>
      </c>
      <c r="B31" s="54"/>
      <c r="C31" s="41"/>
      <c r="D31" s="4">
        <f t="shared" si="7"/>
        <v>0</v>
      </c>
      <c r="E31" s="2">
        <v>18500</v>
      </c>
      <c r="F31" s="4">
        <f t="shared" si="3"/>
        <v>15000</v>
      </c>
      <c r="G31" s="4">
        <f t="shared" si="8"/>
        <v>0</v>
      </c>
      <c r="H31" s="4">
        <f>IF(B7&gt;A31,0,IF(G31=0,0,IF(G31&lt;F31,G31,F31)))</f>
        <v>0</v>
      </c>
      <c r="I31" s="4">
        <f>SUM(D13:D31)</f>
        <v>0</v>
      </c>
      <c r="J31" s="46">
        <f>A31-B6</f>
        <v>2018</v>
      </c>
      <c r="K31" s="4">
        <f>IF(B7&lt;=A31,3000,0)</f>
        <v>0</v>
      </c>
      <c r="L31" s="4">
        <f t="shared" si="5"/>
        <v>0</v>
      </c>
      <c r="M31" s="4">
        <f>IF(D31-E31-H31&lt;0,0,IF(D31-E31-H31&gt;6000,6000,D31-E31-H31))</f>
        <v>0</v>
      </c>
      <c r="N31" s="4">
        <f>IF(B5&lt;=A31,6000,0)</f>
        <v>0</v>
      </c>
      <c r="O31" s="2">
        <f>IF(B5&lt;=A31,E31+L31+N31,E31+L31)</f>
        <v>18500</v>
      </c>
      <c r="P31" s="4" t="str">
        <f t="shared" si="0"/>
        <v>no</v>
      </c>
      <c r="Q31" s="4">
        <f t="shared" si="1"/>
        <v>0</v>
      </c>
      <c r="V31" s="4"/>
    </row>
    <row r="32" spans="1:22" x14ac:dyDescent="0.25">
      <c r="A32" s="3">
        <v>2019</v>
      </c>
      <c r="B32" s="54"/>
      <c r="C32" s="41"/>
      <c r="D32" s="4">
        <f t="shared" si="7"/>
        <v>0</v>
      </c>
      <c r="E32" s="2">
        <v>19000</v>
      </c>
      <c r="F32" s="4">
        <f t="shared" si="3"/>
        <v>15000</v>
      </c>
      <c r="G32" s="4">
        <f t="shared" si="8"/>
        <v>0</v>
      </c>
      <c r="H32" s="4">
        <f>IF(B7&gt;A32,0,IF(G32=0,0,IF(G32&lt;F32,G32,F32)))</f>
        <v>0</v>
      </c>
      <c r="I32" s="4">
        <f>SUM(D13:D32)</f>
        <v>0</v>
      </c>
      <c r="J32" s="46">
        <f>A32-B6</f>
        <v>2019</v>
      </c>
      <c r="K32" s="4">
        <f>IF(B7&lt;=A32,3000,0)</f>
        <v>0</v>
      </c>
      <c r="L32" s="4">
        <f t="shared" si="5"/>
        <v>0</v>
      </c>
      <c r="M32" s="4">
        <f>IF(D32-E32-H32&lt;0,0,IF(D32-E32-H32&gt;6000,6000,D32-E32-H32))</f>
        <v>0</v>
      </c>
      <c r="N32" s="4">
        <f>IF(B5&lt;=A32,6000,0)</f>
        <v>0</v>
      </c>
      <c r="O32" s="2">
        <f>IF(B5&lt;=A32,E32+L32+N32,E32+L32)</f>
        <v>19000</v>
      </c>
      <c r="P32" s="4" t="str">
        <f t="shared" si="0"/>
        <v>no</v>
      </c>
      <c r="Q32" s="4">
        <f t="shared" si="1"/>
        <v>0</v>
      </c>
      <c r="V32" s="4"/>
    </row>
    <row r="33" spans="1:22" x14ac:dyDescent="0.25">
      <c r="A33" s="3">
        <v>2020</v>
      </c>
      <c r="B33" s="54"/>
      <c r="C33" s="41"/>
      <c r="D33" s="4">
        <f t="shared" si="7"/>
        <v>0</v>
      </c>
      <c r="E33" s="2">
        <v>19500</v>
      </c>
      <c r="F33" s="4">
        <f t="shared" si="3"/>
        <v>15000</v>
      </c>
      <c r="G33" s="4">
        <f t="shared" si="8"/>
        <v>0</v>
      </c>
      <c r="H33" s="4">
        <f>IF(B7&gt;A33,0,IF(G33=0,0,IF(G33&lt;F33,G33,F33)))</f>
        <v>0</v>
      </c>
      <c r="I33" s="4">
        <f>SUM(D13:D33)</f>
        <v>0</v>
      </c>
      <c r="J33" s="46">
        <f>A33-B6</f>
        <v>2020</v>
      </c>
      <c r="K33" s="4">
        <f>IF(B7&lt;=A33,3000,0)</f>
        <v>0</v>
      </c>
      <c r="L33" s="4">
        <f t="shared" si="5"/>
        <v>0</v>
      </c>
      <c r="M33" s="4">
        <f>IF(D33-E33-H33&lt;0,0,IF(D33-E33-H33&gt;6500,6500,D33-E33-H33))</f>
        <v>0</v>
      </c>
      <c r="N33" s="4">
        <f>IF(B5&lt;=A33,6500,0)</f>
        <v>0</v>
      </c>
      <c r="O33" s="2">
        <f>IF(B5&lt;=A33,E33+L33+N33,E33+L33)</f>
        <v>19500</v>
      </c>
      <c r="P33" s="4" t="str">
        <f t="shared" si="0"/>
        <v>no</v>
      </c>
      <c r="Q33" s="4">
        <f t="shared" si="1"/>
        <v>0</v>
      </c>
      <c r="V33" s="4"/>
    </row>
    <row r="34" spans="1:22" x14ac:dyDescent="0.25">
      <c r="A34" s="3">
        <v>2021</v>
      </c>
      <c r="B34" s="54"/>
      <c r="C34" s="41"/>
      <c r="D34" s="4">
        <f t="shared" si="7"/>
        <v>0</v>
      </c>
      <c r="E34" s="2">
        <v>19500</v>
      </c>
      <c r="F34" s="4">
        <f t="shared" si="3"/>
        <v>15000</v>
      </c>
      <c r="G34" s="4">
        <f t="shared" si="8"/>
        <v>0</v>
      </c>
      <c r="H34" s="4">
        <f>IF(B7&gt;A34,0,IF(G34=0,0,IF(G34&lt;F34,G34,F34)))</f>
        <v>0</v>
      </c>
      <c r="I34" s="4">
        <f>SUM(D13:D34)</f>
        <v>0</v>
      </c>
      <c r="J34" s="46">
        <f>A34-B6</f>
        <v>2021</v>
      </c>
      <c r="K34" s="4">
        <f>IF(B7&lt;=A34,3000,0)</f>
        <v>0</v>
      </c>
      <c r="L34" s="4">
        <f t="shared" si="5"/>
        <v>0</v>
      </c>
      <c r="M34" s="4">
        <f>IF(D34-E34-H34&lt;0,0,IF(D34-E34-H34&gt;6500,6500,D34-E34-H34))</f>
        <v>0</v>
      </c>
      <c r="N34" s="4">
        <f>IF(B5&lt;=A34,6500,0)</f>
        <v>0</v>
      </c>
      <c r="O34" s="2">
        <f>IF(B5&lt;=A34,E34+L34+N34,E34+L34)</f>
        <v>19500</v>
      </c>
      <c r="P34" s="4" t="str">
        <f t="shared" si="0"/>
        <v>no</v>
      </c>
      <c r="Q34" s="4">
        <f t="shared" si="1"/>
        <v>0</v>
      </c>
      <c r="V34" s="4"/>
    </row>
    <row r="35" spans="1:22" x14ac:dyDescent="0.25">
      <c r="A35" s="3">
        <v>2022</v>
      </c>
      <c r="B35" s="54"/>
      <c r="C35" s="41"/>
      <c r="D35" s="4">
        <f t="shared" si="7"/>
        <v>0</v>
      </c>
      <c r="E35" s="2">
        <v>20500</v>
      </c>
      <c r="F35" s="4">
        <f t="shared" si="3"/>
        <v>15000</v>
      </c>
      <c r="G35" s="4">
        <f t="shared" si="8"/>
        <v>0</v>
      </c>
      <c r="H35" s="4">
        <f>IF(B7&gt;A35,0,IF(G35=0,0,IF(G35&lt;F35,G35,F35)))</f>
        <v>0</v>
      </c>
      <c r="I35" s="4">
        <f>SUM(D13:D35)</f>
        <v>0</v>
      </c>
      <c r="J35" s="46">
        <f>A35-B6</f>
        <v>2022</v>
      </c>
      <c r="K35" s="4">
        <f>IF(B7&lt;=A35,3000,0)</f>
        <v>0</v>
      </c>
      <c r="L35" s="4">
        <f t="shared" si="5"/>
        <v>0</v>
      </c>
      <c r="M35" s="4">
        <f>IF(D35-E35-H35&lt;0,0,IF(D35-E35-H35&gt;6500,6500,D35-E35-H35))</f>
        <v>0</v>
      </c>
      <c r="N35" s="4">
        <f>IF(B5&lt;=A35,6500,0)</f>
        <v>0</v>
      </c>
      <c r="O35" s="2">
        <f>IF(B5&lt;=A35,E35+L35+N35,E35+L35)</f>
        <v>20500</v>
      </c>
      <c r="P35" s="4" t="str">
        <f t="shared" si="0"/>
        <v>no</v>
      </c>
      <c r="Q35" s="4">
        <f t="shared" si="1"/>
        <v>0</v>
      </c>
      <c r="V35" s="4"/>
    </row>
    <row r="36" spans="1:22" x14ac:dyDescent="0.25">
      <c r="A36" s="3">
        <v>2023</v>
      </c>
      <c r="B36" s="54"/>
      <c r="C36" s="41"/>
      <c r="D36" s="4">
        <f t="shared" si="7"/>
        <v>0</v>
      </c>
      <c r="E36" s="2">
        <v>22500</v>
      </c>
      <c r="F36" s="4">
        <f t="shared" si="3"/>
        <v>15000</v>
      </c>
      <c r="G36" s="4">
        <f t="shared" si="8"/>
        <v>0</v>
      </c>
      <c r="H36" s="4">
        <f>IF(B7&gt;A36,0,IF(G36=0,0,IF(G36&lt;F36,G36,F36)))</f>
        <v>0</v>
      </c>
      <c r="I36" s="4">
        <f>SUM(D13:D36)</f>
        <v>0</v>
      </c>
      <c r="J36" s="46">
        <f>A36-B6</f>
        <v>2023</v>
      </c>
      <c r="K36" s="4">
        <f>IF(B7&lt;=A36,3000,0)</f>
        <v>0</v>
      </c>
      <c r="L36" s="4">
        <f t="shared" si="5"/>
        <v>0</v>
      </c>
      <c r="M36" s="4">
        <f>IF(D36-E36-H36&lt;0,0,IF(D36-E36-H36&gt;7500,7500,D36-E36-H36))</f>
        <v>0</v>
      </c>
      <c r="N36" s="4">
        <f>IF(B6&lt;=A36,7500,0)</f>
        <v>7500</v>
      </c>
      <c r="O36" s="2">
        <f>IF(B5&lt;=A36,E36+L36+N36,E36+L36)</f>
        <v>22500</v>
      </c>
      <c r="P36" s="4" t="str">
        <f t="shared" si="0"/>
        <v>no</v>
      </c>
      <c r="Q36" s="4">
        <f t="shared" si="1"/>
        <v>0</v>
      </c>
      <c r="V36" s="4"/>
    </row>
    <row r="37" spans="1:22" x14ac:dyDescent="0.25">
      <c r="B37" s="55"/>
      <c r="C37" s="37" t="s">
        <v>32</v>
      </c>
      <c r="D37" s="4">
        <f>SUM(D13:D36)</f>
        <v>0</v>
      </c>
      <c r="E37" s="37" t="s">
        <v>23</v>
      </c>
      <c r="F37" s="37"/>
      <c r="G37" s="37"/>
      <c r="H37" s="39">
        <f>SUM(H13:H36)</f>
        <v>0</v>
      </c>
      <c r="I37" s="39"/>
      <c r="J37" s="39"/>
      <c r="K37" s="4"/>
      <c r="L37" s="4"/>
      <c r="N37" s="2"/>
      <c r="O37" s="2"/>
    </row>
    <row r="38" spans="1:22" x14ac:dyDescent="0.25">
      <c r="B38" s="55"/>
      <c r="C38" s="4"/>
      <c r="D38" s="4"/>
      <c r="E38" s="4"/>
      <c r="F38" s="4"/>
      <c r="G38" s="4"/>
      <c r="H38" s="4"/>
      <c r="I38" s="4"/>
      <c r="J38" s="4"/>
      <c r="K38" s="4"/>
      <c r="L38" s="4"/>
      <c r="Q38" s="3"/>
      <c r="R38" s="3"/>
      <c r="S38" s="3"/>
      <c r="T38" s="3"/>
      <c r="U38" s="3"/>
    </row>
    <row r="39" spans="1:22" x14ac:dyDescent="0.25">
      <c r="B39" s="55"/>
      <c r="C39" s="4"/>
      <c r="D39" s="4"/>
      <c r="E39" s="4"/>
      <c r="F39" s="4"/>
      <c r="G39" s="4"/>
      <c r="H39" s="4"/>
      <c r="I39" s="4"/>
      <c r="J39" s="4"/>
      <c r="K39" s="4"/>
      <c r="L39" s="4"/>
      <c r="Q39" s="3"/>
      <c r="R39" s="3"/>
      <c r="S39" s="3"/>
      <c r="T39" s="3"/>
      <c r="U39" s="3"/>
    </row>
    <row r="40" spans="1:22" ht="17.25" x14ac:dyDescent="0.25">
      <c r="A40" s="43" t="s">
        <v>34</v>
      </c>
      <c r="B40" s="56"/>
      <c r="C40" s="4"/>
      <c r="D40" s="4"/>
      <c r="E40" s="4"/>
      <c r="F40" s="4"/>
      <c r="G40" s="4"/>
      <c r="H40" s="4"/>
      <c r="I40" s="4"/>
      <c r="J40" s="4"/>
      <c r="K40" s="4"/>
      <c r="L40" s="4"/>
      <c r="Q40" s="3"/>
      <c r="R40" s="3"/>
      <c r="S40" s="3"/>
      <c r="T40" s="3"/>
      <c r="U40" s="3"/>
    </row>
    <row r="41" spans="1:22" ht="17.25" x14ac:dyDescent="0.25">
      <c r="A41" s="57" t="s">
        <v>30</v>
      </c>
      <c r="B41" s="58"/>
      <c r="C41" s="4"/>
      <c r="D41" s="4"/>
      <c r="E41" s="4"/>
      <c r="F41" s="4"/>
      <c r="G41" s="4"/>
      <c r="H41" s="4"/>
      <c r="I41" s="4"/>
      <c r="J41" s="4"/>
      <c r="K41" s="4"/>
      <c r="L41" s="4"/>
      <c r="Q41" s="3"/>
      <c r="R41" s="3"/>
      <c r="S41" s="3"/>
      <c r="T41" s="3"/>
      <c r="U41" s="3"/>
    </row>
    <row r="42" spans="1:22" ht="17.25" x14ac:dyDescent="0.25">
      <c r="A42" s="44" t="s">
        <v>31</v>
      </c>
      <c r="B42" s="55"/>
      <c r="C42" s="4"/>
      <c r="D42" s="4"/>
      <c r="E42" s="4"/>
      <c r="F42" s="4"/>
      <c r="G42" s="4"/>
      <c r="H42" s="4"/>
      <c r="I42" s="4"/>
      <c r="J42" s="4"/>
      <c r="K42" s="4"/>
      <c r="L42" s="4"/>
      <c r="Q42" s="3"/>
      <c r="R42" s="3"/>
      <c r="S42" s="3"/>
      <c r="T42" s="3"/>
      <c r="U42" s="3"/>
    </row>
    <row r="43" spans="1:22" x14ac:dyDescent="0.25">
      <c r="B43" s="55"/>
      <c r="C43" s="4"/>
      <c r="D43" s="4"/>
      <c r="E43" s="4"/>
      <c r="F43" s="4"/>
      <c r="G43" s="4"/>
      <c r="H43" s="4"/>
      <c r="I43" s="4"/>
      <c r="J43" s="4"/>
      <c r="K43" s="4"/>
      <c r="L43" s="4"/>
      <c r="Q43" s="3"/>
      <c r="R43" s="3"/>
      <c r="S43" s="3"/>
      <c r="T43" s="3"/>
      <c r="U43" s="3"/>
    </row>
    <row r="44" spans="1:22" x14ac:dyDescent="0.25">
      <c r="B44" s="55"/>
      <c r="C44" s="4"/>
      <c r="D44" s="4"/>
      <c r="E44" s="4"/>
      <c r="F44" s="4"/>
      <c r="G44" s="4"/>
      <c r="H44" s="4"/>
      <c r="I44" s="4"/>
      <c r="J44" s="4"/>
      <c r="K44" s="4"/>
      <c r="L44" s="4"/>
      <c r="Q44" s="3"/>
      <c r="R44" s="3"/>
      <c r="S44" s="3"/>
      <c r="T44" s="3"/>
      <c r="U44" s="3"/>
    </row>
    <row r="45" spans="1:22" x14ac:dyDescent="0.25">
      <c r="B45" s="55"/>
      <c r="C45" s="4"/>
      <c r="D45" s="4"/>
      <c r="E45" s="4"/>
      <c r="F45" s="4"/>
      <c r="G45" s="4"/>
      <c r="H45" s="4"/>
      <c r="I45" s="4"/>
      <c r="J45" s="4"/>
      <c r="K45" s="4"/>
      <c r="L45" s="4"/>
      <c r="Q45" s="3"/>
      <c r="R45" s="3"/>
      <c r="S45" s="3"/>
      <c r="T45" s="3"/>
      <c r="U45" s="3"/>
    </row>
    <row r="46" spans="1:22" x14ac:dyDescent="0.25">
      <c r="B46" s="55"/>
      <c r="C46" s="4"/>
      <c r="D46" s="4"/>
      <c r="E46" s="4"/>
      <c r="F46" s="4"/>
      <c r="G46" s="4"/>
      <c r="H46" s="4"/>
      <c r="I46" s="4"/>
      <c r="J46" s="4"/>
      <c r="K46" s="4"/>
      <c r="L46" s="4"/>
      <c r="Q46" s="3"/>
      <c r="R46" s="3"/>
      <c r="S46" s="3"/>
      <c r="T46" s="3"/>
      <c r="U46" s="3"/>
    </row>
    <row r="47" spans="1:22" x14ac:dyDescent="0.25">
      <c r="B47" s="55"/>
      <c r="C47" s="4"/>
      <c r="D47" s="4"/>
      <c r="E47" s="4"/>
      <c r="F47" s="4"/>
      <c r="G47" s="4"/>
      <c r="H47" s="4"/>
      <c r="I47" s="4"/>
      <c r="J47" s="4"/>
      <c r="K47" s="4"/>
      <c r="L47" s="4"/>
      <c r="Q47" s="3"/>
      <c r="R47" s="3"/>
      <c r="S47" s="3"/>
      <c r="T47" s="3"/>
      <c r="U47" s="3"/>
    </row>
    <row r="48" spans="1:22" x14ac:dyDescent="0.25">
      <c r="B48" s="55"/>
      <c r="C48" s="4"/>
      <c r="D48" s="4"/>
      <c r="E48" s="4"/>
      <c r="F48" s="4"/>
      <c r="G48" s="4"/>
      <c r="H48" s="4"/>
      <c r="I48" s="4"/>
      <c r="J48" s="4"/>
      <c r="K48" s="4"/>
      <c r="L48" s="4"/>
      <c r="Q48" s="3"/>
      <c r="R48" s="3"/>
      <c r="S48" s="3"/>
      <c r="T48" s="3"/>
      <c r="U48" s="3"/>
    </row>
    <row r="49" spans="1:21" x14ac:dyDescent="0.25">
      <c r="B49" s="55"/>
      <c r="C49" s="4"/>
      <c r="D49" s="4"/>
      <c r="E49" s="4"/>
      <c r="F49" s="4"/>
      <c r="G49" s="4"/>
      <c r="H49" s="4"/>
      <c r="I49" s="4"/>
      <c r="J49" s="4"/>
      <c r="K49" s="4"/>
      <c r="L49" s="4"/>
      <c r="Q49" s="3"/>
      <c r="R49" s="3"/>
      <c r="S49" s="3"/>
      <c r="T49" s="3"/>
      <c r="U49" s="3"/>
    </row>
    <row r="50" spans="1:21" x14ac:dyDescent="0.25">
      <c r="B50" s="55"/>
      <c r="C50" s="4"/>
      <c r="D50" s="4"/>
      <c r="E50" s="4"/>
      <c r="F50" s="4"/>
      <c r="G50" s="4"/>
      <c r="H50" s="4"/>
      <c r="I50" s="4"/>
      <c r="J50" s="4"/>
      <c r="K50" s="4"/>
      <c r="L50" s="4"/>
      <c r="Q50" s="3"/>
      <c r="R50" s="3"/>
      <c r="S50" s="3"/>
      <c r="T50" s="3"/>
      <c r="U50" s="3"/>
    </row>
    <row r="51" spans="1:21" x14ac:dyDescent="0.25">
      <c r="B51" s="55"/>
      <c r="C51" s="4"/>
      <c r="D51" s="4"/>
      <c r="E51" s="4"/>
      <c r="F51" s="4"/>
      <c r="G51" s="4"/>
      <c r="H51" s="4"/>
      <c r="I51" s="4"/>
      <c r="J51" s="4"/>
      <c r="K51" s="4"/>
      <c r="L51" s="4"/>
      <c r="Q51" s="3"/>
      <c r="R51" s="3"/>
      <c r="S51" s="3"/>
      <c r="T51" s="3"/>
      <c r="U51" s="3"/>
    </row>
    <row r="52" spans="1:21" x14ac:dyDescent="0.25">
      <c r="B52" s="55"/>
      <c r="C52" s="4"/>
      <c r="D52" s="4"/>
      <c r="E52" s="4"/>
      <c r="F52" s="4"/>
      <c r="G52" s="4"/>
      <c r="H52" s="4"/>
      <c r="I52" s="4"/>
      <c r="J52" s="4"/>
      <c r="K52" s="4"/>
      <c r="L52" s="4"/>
      <c r="Q52" s="3"/>
      <c r="R52" s="3"/>
      <c r="S52" s="3"/>
      <c r="T52" s="3"/>
      <c r="U52" s="3"/>
    </row>
    <row r="53" spans="1:21" x14ac:dyDescent="0.25">
      <c r="A53" s="31"/>
      <c r="C53" s="29"/>
      <c r="D53" s="29"/>
      <c r="E53" s="29"/>
      <c r="F53" s="29"/>
      <c r="G53" s="29"/>
    </row>
    <row r="54" spans="1:21" x14ac:dyDescent="0.25">
      <c r="A54" s="31"/>
      <c r="C54" s="29"/>
      <c r="D54" s="29"/>
      <c r="E54" s="29"/>
      <c r="F54" s="29"/>
      <c r="G54" s="29"/>
    </row>
    <row r="55" spans="1:21" x14ac:dyDescent="0.25">
      <c r="A55" s="27"/>
      <c r="C55" s="26"/>
      <c r="D55" s="26"/>
      <c r="E55" s="26"/>
      <c r="F55" s="26"/>
      <c r="G55" s="26"/>
    </row>
    <row r="56" spans="1:21" x14ac:dyDescent="0.25">
      <c r="A56" s="27"/>
      <c r="C56" s="26"/>
      <c r="D56" s="26"/>
      <c r="E56" s="26"/>
      <c r="F56" s="26"/>
      <c r="G56" s="26"/>
    </row>
    <row r="57" spans="1:21" x14ac:dyDescent="0.25">
      <c r="A57" s="27"/>
      <c r="C57" s="26"/>
      <c r="D57" s="26"/>
      <c r="E57" s="26"/>
      <c r="F57" s="26"/>
      <c r="G57" s="26"/>
    </row>
    <row r="58" spans="1:21" x14ac:dyDescent="0.25">
      <c r="A58" s="27"/>
      <c r="C58" s="26"/>
      <c r="D58" s="26"/>
      <c r="E58" s="26"/>
      <c r="F58" s="26"/>
      <c r="G58" s="26"/>
    </row>
    <row r="59" spans="1:21" x14ac:dyDescent="0.25">
      <c r="A59" s="27"/>
      <c r="C59" s="26"/>
      <c r="D59" s="26"/>
      <c r="E59" s="26"/>
      <c r="F59" s="26"/>
      <c r="G59" s="26"/>
    </row>
    <row r="60" spans="1:21" x14ac:dyDescent="0.25">
      <c r="A60" s="27"/>
      <c r="C60" s="26"/>
      <c r="D60" s="26"/>
      <c r="E60" s="26"/>
      <c r="F60" s="26"/>
      <c r="G60" s="26"/>
    </row>
    <row r="61" spans="1:21" x14ac:dyDescent="0.25">
      <c r="A61" s="27"/>
      <c r="C61" s="26"/>
      <c r="D61" s="26"/>
      <c r="E61" s="26"/>
      <c r="F61" s="26"/>
      <c r="G61" s="26"/>
    </row>
    <row r="62" spans="1:21" x14ac:dyDescent="0.25">
      <c r="A62" s="27"/>
      <c r="C62" s="26"/>
      <c r="D62" s="26"/>
      <c r="E62" s="26"/>
      <c r="F62" s="26"/>
      <c r="G62" s="26"/>
    </row>
    <row r="63" spans="1:21" x14ac:dyDescent="0.25">
      <c r="A63" s="27"/>
      <c r="C63" s="26"/>
      <c r="D63" s="26"/>
      <c r="E63" s="26"/>
      <c r="F63" s="26"/>
      <c r="G63" s="26"/>
    </row>
    <row r="64" spans="1:21" x14ac:dyDescent="0.25">
      <c r="A64" s="27"/>
      <c r="C64" s="26"/>
      <c r="D64" s="26"/>
      <c r="E64" s="26"/>
      <c r="F64" s="26"/>
      <c r="G64" s="26"/>
    </row>
    <row r="65" spans="1:7" x14ac:dyDescent="0.25">
      <c r="A65" s="27"/>
      <c r="C65" s="26"/>
      <c r="D65" s="26"/>
      <c r="E65" s="26"/>
      <c r="F65" s="26"/>
      <c r="G65" s="26"/>
    </row>
    <row r="66" spans="1:7" x14ac:dyDescent="0.25">
      <c r="A66" s="27"/>
      <c r="C66" s="26"/>
      <c r="D66" s="26"/>
      <c r="E66" s="26"/>
      <c r="F66" s="26"/>
      <c r="G66" s="26"/>
    </row>
  </sheetData>
  <mergeCells count="1">
    <mergeCell ref="A41:B41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Sandusky, Jennifer [DAS]</dc:creator>
  <cp:lastModifiedBy>Sandusky, Jennifer [DAS]</cp:lastModifiedBy>
  <dcterms:created xsi:type="dcterms:W3CDTF">2011-10-25T16:56:56Z</dcterms:created>
  <dcterms:modified xsi:type="dcterms:W3CDTF">2023-01-05T15:07:37Z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